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HELIOS DEVELOPPEMENT\IMMOBILIER BOOS CAP TERRAIN\"/>
    </mc:Choice>
  </mc:AlternateContent>
  <bookViews>
    <workbookView xWindow="0" yWindow="0" windowWidth="28800" windowHeight="12135"/>
  </bookViews>
  <sheets>
    <sheet name="financement et déblocage" sheetId="1" r:id="rId1"/>
    <sheet name="prévisionnel global " sheetId="2" r:id="rId2"/>
    <sheet name="prévisionnel global SL " sheetId="6" r:id="rId3"/>
    <sheet name="Feuil1" sheetId="5" r:id="rId4"/>
    <sheet name="RIK_PARAMS" sheetId="4" state="veryHidden" r:id="rId5"/>
  </sheets>
  <definedNames>
    <definedName name="_xlnm.Print_Area" localSheetId="0">'financement et déblocage'!$A$1:$F$51</definedName>
    <definedName name="_xlnm.Print_Area" localSheetId="1">'prévisionnel global '!$A$1:$L$53</definedName>
    <definedName name="_xlnm.Print_Area" localSheetId="2">'prévisionnel global SL '!$A$1:$L$53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3" i="6" l="1"/>
  <c r="V32" i="6"/>
  <c r="V31" i="6"/>
  <c r="V30" i="6"/>
  <c r="V29" i="6"/>
  <c r="V28" i="6"/>
  <c r="V27" i="6"/>
  <c r="V26" i="6"/>
  <c r="V25" i="6"/>
  <c r="V35" i="6" l="1"/>
  <c r="C52" i="6" l="1"/>
  <c r="B44" i="6"/>
  <c r="B47" i="6" s="1"/>
  <c r="J33" i="6"/>
  <c r="K33" i="6" s="1"/>
  <c r="J30" i="6"/>
  <c r="J32" i="6" s="1"/>
  <c r="K32" i="6" s="1"/>
  <c r="K29" i="6"/>
  <c r="J22" i="6"/>
  <c r="K20" i="6"/>
  <c r="J19" i="6"/>
  <c r="J23" i="6" s="1"/>
  <c r="J24" i="6" s="1"/>
  <c r="Q17" i="6"/>
  <c r="Q21" i="6" s="1"/>
  <c r="J17" i="6"/>
  <c r="K17" i="6" s="1"/>
  <c r="J16" i="6"/>
  <c r="K16" i="6" s="1"/>
  <c r="B16" i="6"/>
  <c r="J15" i="6"/>
  <c r="K15" i="6" s="1"/>
  <c r="B15" i="6"/>
  <c r="B18" i="6" s="1"/>
  <c r="B22" i="6" s="1"/>
  <c r="R14" i="6"/>
  <c r="K14" i="6"/>
  <c r="N14" i="6" s="1"/>
  <c r="J14" i="6"/>
  <c r="R13" i="6"/>
  <c r="J13" i="6"/>
  <c r="K13" i="6" s="1"/>
  <c r="N13" i="6" s="1"/>
  <c r="R11" i="6"/>
  <c r="J11" i="6"/>
  <c r="K11" i="6" s="1"/>
  <c r="N11" i="6" s="1"/>
  <c r="J10" i="6"/>
  <c r="K10" i="6" s="1"/>
  <c r="B10" i="6"/>
  <c r="B6" i="6"/>
  <c r="B9" i="6" s="1"/>
  <c r="J21" i="6" l="1"/>
  <c r="R21" i="6"/>
  <c r="J25" i="6"/>
  <c r="C37" i="6"/>
  <c r="N21" i="6"/>
  <c r="C41" i="6"/>
  <c r="C47" i="6" s="1"/>
  <c r="K30" i="6"/>
  <c r="K34" i="6" s="1"/>
  <c r="K19" i="6"/>
  <c r="K21" i="6" s="1"/>
  <c r="K20" i="2"/>
  <c r="J22" i="2" l="1"/>
  <c r="J19" i="2"/>
  <c r="J23" i="2" s="1"/>
  <c r="J24" i="2" s="1"/>
  <c r="J25" i="2" s="1"/>
  <c r="J17" i="2"/>
  <c r="J16" i="2"/>
  <c r="J11" i="2"/>
  <c r="B10" i="2"/>
  <c r="J15" i="2"/>
  <c r="J14" i="2"/>
  <c r="J13" i="2"/>
  <c r="J33" i="2"/>
  <c r="K33" i="2" s="1"/>
  <c r="J30" i="2"/>
  <c r="J32" i="2" s="1"/>
  <c r="K32" i="2" s="1"/>
  <c r="J10" i="2"/>
  <c r="J21" i="2" s="1"/>
  <c r="Q17" i="2"/>
  <c r="Q21" i="2" s="1"/>
  <c r="K30" i="2" l="1"/>
  <c r="B16" i="2" l="1"/>
  <c r="B15" i="2"/>
  <c r="K16" i="2"/>
  <c r="K29" i="2"/>
  <c r="K34" i="2" s="1"/>
  <c r="B18" i="2" l="1"/>
  <c r="G48" i="1" l="1"/>
  <c r="R14" i="2" l="1"/>
  <c r="R13" i="2"/>
  <c r="R11" i="2"/>
  <c r="R21" i="2" l="1"/>
  <c r="B13" i="1"/>
  <c r="B14" i="1"/>
  <c r="C52" i="2" l="1"/>
  <c r="B44" i="2"/>
  <c r="B47" i="2" s="1"/>
  <c r="K17" i="2"/>
  <c r="K19" i="2"/>
  <c r="B22" i="2"/>
  <c r="B6" i="2"/>
  <c r="B9" i="2" s="1"/>
  <c r="C28" i="1"/>
  <c r="D33" i="1" s="1"/>
  <c r="C27" i="1"/>
  <c r="C33" i="1" l="1"/>
  <c r="C39" i="1" s="1"/>
  <c r="K10" i="2"/>
  <c r="K13" i="2"/>
  <c r="N13" i="2" s="1"/>
  <c r="K11" i="2"/>
  <c r="N11" i="2" s="1"/>
  <c r="K15" i="2"/>
  <c r="K14" i="2"/>
  <c r="N14" i="2" s="1"/>
  <c r="C37" i="2"/>
  <c r="C41" i="2"/>
  <c r="K21" i="2" l="1"/>
  <c r="N21" i="2"/>
  <c r="C47" i="2"/>
  <c r="B6" i="1" l="1"/>
  <c r="B8" i="1" s="1"/>
  <c r="B16" i="1"/>
  <c r="B19" i="1" s="1"/>
</calcChain>
</file>

<file path=xl/comments1.xml><?xml version="1.0" encoding="utf-8"?>
<comments xmlns="http://schemas.openxmlformats.org/spreadsheetml/2006/main">
  <authors>
    <author>Veronique ROUSSEL</author>
  </authors>
  <commentList>
    <comment ref="I9" authorId="0" shapeId="0">
      <text>
        <r>
          <rPr>
            <b/>
            <sz val="9"/>
            <color indexed="81"/>
            <rFont val="Tahoma"/>
            <family val="2"/>
          </rPr>
          <t>Veronique ROUSSEL: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8" authorId="0" shapeId="0">
      <text>
        <r>
          <rPr>
            <b/>
            <sz val="9"/>
            <color indexed="81"/>
            <rFont val="Tahoma"/>
            <family val="2"/>
          </rPr>
          <t>Veronique ROUSSEL: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Veronique ROUSSEL</author>
  </authors>
  <commentList>
    <comment ref="I9" authorId="0" shapeId="0">
      <text>
        <r>
          <rPr>
            <b/>
            <sz val="9"/>
            <color indexed="81"/>
            <rFont val="Tahoma"/>
            <family val="2"/>
          </rPr>
          <t>Veronique ROUSSEL: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8" authorId="0" shapeId="0">
      <text>
        <r>
          <rPr>
            <b/>
            <sz val="9"/>
            <color indexed="81"/>
            <rFont val="Tahoma"/>
            <family val="2"/>
          </rPr>
          <t>Veronique ROUSSEL: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<sst xmlns="http://schemas.openxmlformats.org/spreadsheetml/2006/main" count="342" uniqueCount="151">
  <si>
    <t>Investissement Prévisionnel</t>
  </si>
  <si>
    <t>modalités de financement</t>
  </si>
  <si>
    <t>Emprunt bancaire CIC Amortissable sur 12 ans</t>
  </si>
  <si>
    <t>HT</t>
  </si>
  <si>
    <t>Prêt consenti par HELIOS Développement (Holding)</t>
  </si>
  <si>
    <t xml:space="preserve">prêt consenti par V et P Roussel </t>
  </si>
  <si>
    <t xml:space="preserve"> </t>
  </si>
  <si>
    <t>Frais de commercialisation BNP RealEstage</t>
  </si>
  <si>
    <t>taxe acte notarié 0,715 %</t>
  </si>
  <si>
    <t xml:space="preserve">Désignation </t>
  </si>
  <si>
    <t>TAUX</t>
  </si>
  <si>
    <t>MONTANT HT</t>
  </si>
  <si>
    <t>plus value 150  k€ moins value 80 k€ 10-10-2016</t>
  </si>
  <si>
    <t xml:space="preserve">clôture </t>
  </si>
  <si>
    <t>taxe raccordement</t>
  </si>
  <si>
    <t>enveloppe taxe acte notarié</t>
  </si>
  <si>
    <t xml:space="preserve">coût de commercialisation sur Terrain + bâti </t>
  </si>
  <si>
    <t>garantie hypothècaire sur envel. Financée</t>
  </si>
  <si>
    <t>frais dossier emprunt bancaire</t>
  </si>
  <si>
    <t>montant hors financement  bancaire</t>
  </si>
  <si>
    <t>apport prêt helios SAS</t>
  </si>
  <si>
    <t>apport prêt Roussel</t>
  </si>
  <si>
    <t>montant travaux aménagement financé par AUDITECH</t>
  </si>
  <si>
    <t>Montant à financer par ZETA SAS</t>
  </si>
  <si>
    <t>enveloppe Globale Provisionnée à financer</t>
  </si>
  <si>
    <t>aménagement financé par AUDITECH Innovations</t>
  </si>
  <si>
    <t>hors Zeta</t>
  </si>
  <si>
    <t>Bâtiment et terrain (VEFA)</t>
  </si>
  <si>
    <t>Bâtiment et terrain (VEFA CAP TERRAIN)</t>
  </si>
  <si>
    <t>Création SAS ZETA APPORT CAPITAL</t>
  </si>
  <si>
    <t>apport fond HELIOS</t>
  </si>
  <si>
    <t>Apport fond ROUSSEL</t>
  </si>
  <si>
    <t>Prov Frais notaire</t>
  </si>
  <si>
    <t>versements intermédiaires estimés</t>
  </si>
  <si>
    <t xml:space="preserve">réservation VEFA 5 % de 1 611 000 HT + TVA </t>
  </si>
  <si>
    <t xml:space="preserve">Versements par stade d'avancement des travaux </t>
  </si>
  <si>
    <t>LEVEE DES RESERVES (Procès Verbal de Livraison) VEFA</t>
  </si>
  <si>
    <t>période prévisionnelle</t>
  </si>
  <si>
    <t xml:space="preserve">Signature du contrat préliminaire </t>
  </si>
  <si>
    <t xml:space="preserve">Signature de l'acte authentique </t>
  </si>
  <si>
    <t xml:space="preserve">Achèvement des fondations </t>
  </si>
  <si>
    <t>Achèvement de la charpente</t>
  </si>
  <si>
    <t xml:space="preserve">Immeuble hors d'eau </t>
  </si>
  <si>
    <t>OPR VEFA</t>
  </si>
  <si>
    <t>montant HT</t>
  </si>
  <si>
    <t>TTC</t>
  </si>
  <si>
    <t>% versé</t>
  </si>
  <si>
    <t>Loyer 2018 SOIT 9 MOIS</t>
  </si>
  <si>
    <t>charges de remboursement de prêt CIC</t>
  </si>
  <si>
    <t>Remboursement prêt Helios</t>
  </si>
  <si>
    <t>Remboursement prêt Roussel</t>
  </si>
  <si>
    <t xml:space="preserve">versements construction  intermédiaires et finaux </t>
  </si>
  <si>
    <t>PAS DE Chiffre d'affaires construction du bâtiment</t>
  </si>
  <si>
    <t>loyers prévisionnel mensuel AUDITECH percus</t>
  </si>
  <si>
    <t>prov Charges (taxe foncière) AUDITECH perçus</t>
  </si>
  <si>
    <t>total perçu mensuellement</t>
  </si>
  <si>
    <t>déblocage du prêt au fil des besoins et amortissements en conséquence.  Mensualités CIC sur la totalité  9677,00 € soit pour 9 mois</t>
  </si>
  <si>
    <t>{_x000D_
  "Name": "DetailParameters",_x000D_
  "Column": 2,_x000D_
  "Length": 1,_x000D_
  "IsEncrypted": false_x000D_
}</t>
  </si>
  <si>
    <t>PREVISIONNEL ZETA - SAS</t>
  </si>
  <si>
    <t>CONSTRUCTION 2017-2018 - plan de versement VEFA</t>
  </si>
  <si>
    <t>RECETTES / DEPENSES ZETA 2016-2017</t>
  </si>
  <si>
    <t>débours</t>
  </si>
  <si>
    <t>versements intermédiaires</t>
  </si>
  <si>
    <t>Début Remboursement Prêt CIC</t>
  </si>
  <si>
    <t>Loyers ch encaissés</t>
  </si>
  <si>
    <t>Apport</t>
  </si>
  <si>
    <t>INVESTISSEMENT - Montage Financier</t>
  </si>
  <si>
    <t>signature 19-20-07-2017</t>
  </si>
  <si>
    <t>voir notaire</t>
  </si>
  <si>
    <t>voir avec la banque</t>
  </si>
  <si>
    <t>VRD</t>
  </si>
  <si>
    <t>Démarrage Gros Œuvre</t>
  </si>
  <si>
    <t>cloison</t>
  </si>
  <si>
    <t>faux plafond</t>
  </si>
  <si>
    <t>courant faible IP</t>
  </si>
  <si>
    <t>Livraison en juin 2018</t>
  </si>
  <si>
    <t xml:space="preserve">financement </t>
  </si>
  <si>
    <t>Prêt CIC</t>
  </si>
  <si>
    <t>Financement CIC</t>
  </si>
  <si>
    <t>e-mail du 12-09-2017 Montant : 300 000 €HT.</t>
  </si>
  <si>
    <t>Planning : calqué sur le contrat VEFA.</t>
  </si>
  <si>
    <t>Appels de fonds :</t>
  </si>
  <si>
    <t>30% à la signature.</t>
  </si>
  <si>
    <t>30% à l’achèvement des menuiseries intérieures.</t>
  </si>
  <si>
    <t>20% à l’achèvement des courants faibles.</t>
  </si>
  <si>
    <t>10% aux OPR.</t>
  </si>
  <si>
    <t>10% à remise des clés.</t>
  </si>
  <si>
    <t>Ces appels de fond interviendront après le « hors d’eau » du contrat VEFA en dehors de l’appel de fond à la signature bien entendu.</t>
  </si>
  <si>
    <t>ttc</t>
  </si>
  <si>
    <t>ht</t>
  </si>
  <si>
    <t>réalisé</t>
  </si>
  <si>
    <t>Obtention permis construire</t>
  </si>
  <si>
    <t>{_x000D_
  "Detail CA M": {_x000D_
    "Id": null,_x000D_
    "Name": "Detail CA M",_x000D_
    "TextView": "INF01@E=1,S=1183,G=1,T=0,P=0,C=Mesure:E=-1,S=1203,G=0,T=0,P=0,C=Entete:E=-1,S=1080,G=0,T=0,P=0,C=Entete:E=-1,S=1136,G=0,T=0,P=0,C=Entete:E=-1,S=1147,G=0,T=0,P=0,C=Entete:E=-1,S=1118,G=0,T=0,P=0,C=Entete:E=-1,S=1076,G=0,T=0,P=0,C=Entete:E=-1,S=1031,G=0,T=0,P=0,C=Entete:E=0,S=1184,G=1,T=0,P=0,C=Entete:E=0,S=1074,G=1,T=0,P=0,C=Entete:E=0,S=1163,G=1,T=0,P=0,C=Entete:E=0,S=1078,G=1,T=0,P=0,C=Entete:E=0,S=1083,G=1,T=0,P=0,C=Entete:E=0,S=2231,G=1,T=0,P=0,C=Ligne:E=0,S=2224,G=1,T=0,P=0,C=Ligne:E=0,S=1140,G=1,T=0,P=0,C=Ligne:",_x000D_
    "VueID": "INF01",_x000D_
    "ConnecteurID": "INF12",_x000D_
    "AxeLayout": null,_x000D_
    "AxeData": null,_x000D_
    "RestitutionLayout": null,_x000D_
    "RestitutionData": null_x000D_
  },_x000D_
  "Detail Client CA": {_x000D_
    "Id": null,_x000D_
    "Name": "Detail Client CA",_x000D_
    "TextView": "INF01@E=1,S=1165,G=1,T=0,P=0,C=Mesure:E=-1,S=1203,G=0,T=0,P=0,C=Entete:E=-1,S=1080,G=0,T=0,P=0,C=Entete:E=-1,S=1136,G=0,T=0,P=0,C=Entete:E=-1,S=1147,G=0,T=0,P=0,C=Entete:E=-1,S=1076,G=0,T=0,P=0,C=Entete:E=-1,S=1031,G=0,T=0,P=0,C=Entete:E=0,S=1165,G=1,T=0,P=0,C=Entete:E=0,S=2231,G=1,T=0,P=0,C=Ligne:E=0,S=1118,G=1,T=0,P=0,C=Ligne:E=0,S=2224,G=1,T=0,P=0,C=Ligne:E=0,S=1140,G=1,T=0,P=0,C=Ligne:",_x000D_
    "VueID": "INF01",_x000D_
    "ConnecteurID": "INF12",_x000D_
    "AxeLayout": null,_x000D_
    "AxeData": null,_x000D_
    "RestitutionLayout": null,_x000D_
    "RestitutionData": null_x000D_
  },_x000D_
  "CA M": {_x000D_
    "Id": null,_x000D_
    "Name": "CA M",_x000D_
    "TextView": "INF01@E=1,S=1183,G=1,T=0,P=0,C=Mesure:E=-1,S=1203,G=0,T=0,P=0,C=Entete:E=-1,S=1080,G=0,T=0,P=0,C=Entete:E=-1,S=1136,G=0,T=0,P=0,C=Entete:E=-1,S=1147,G=0,T=0,P=0,C=Entete:E=-1,S=1076,G=0,T=0,P=0,C=Entete:E=0,S=1086,G=1,T=0,P=0,C=Entete:E=0,S=1184,G=1,T=0,P=0,C=Entete:E=0,S=1031,G=1,T=0,P=0,C=Entete:E=0,S=2231,G=1,T=0,P=0,C=Ligne:E=0,S=1193,G=1,T=0,P=0,C=Ligne:E=0,S=1118,G=1,T=0,P=0,C=Ligne:E=0,S=2224,G=1,T=0,P=0,C=Ligne:E=0,S=1140,G=1,T=0,P=0,C=Ligne:E=0,S=1031,G=1,T=0,P=0,C=Colonne:",_x000D_
    "VueID": "INF01",_x000D_
    "ConnecteurID": "INF12",_x000D_
    "AxeLayout": null,_x000D_
    "AxeData": null,_x000D_
    "RestitutionLayout": null,_x000D_
    "RestitutionData": null_x000D_
  }_x000D_
}</t>
  </si>
  <si>
    <t xml:space="preserve">appels fonds fait </t>
  </si>
  <si>
    <t>montant emprunt CIC</t>
  </si>
  <si>
    <t>Déblocage</t>
  </si>
  <si>
    <t>déblocage appel fonds 12-12-2017</t>
  </si>
  <si>
    <t>moyen paiement</t>
  </si>
  <si>
    <t>déblocage cic</t>
  </si>
  <si>
    <t>modifié 30-01-2018 avant 100000 €,</t>
  </si>
  <si>
    <t>déblocage appel fonds 02-03-2018</t>
  </si>
  <si>
    <t>appels fonds hors d'eau 04-05-2018</t>
  </si>
  <si>
    <t>zeta</t>
  </si>
  <si>
    <t>helios</t>
  </si>
  <si>
    <t>Prêt CIC partiel</t>
  </si>
  <si>
    <t>plus value 24-03-2018 financé par Zeta</t>
  </si>
  <si>
    <t>appel de fonds 05-2018</t>
  </si>
  <si>
    <t>déblocage 14-05</t>
  </si>
  <si>
    <t>vir sur zeta le 14-05</t>
  </si>
  <si>
    <t>tva à récupérer</t>
  </si>
  <si>
    <t>OPR travaux complémentaires AUDITECH</t>
  </si>
  <si>
    <t>mis à jour le 15-06-2018</t>
  </si>
  <si>
    <t>?</t>
  </si>
  <si>
    <t>CIC</t>
  </si>
  <si>
    <t xml:space="preserve">Terrain + construction complète </t>
  </si>
  <si>
    <t>auditech</t>
  </si>
  <si>
    <t>60000 ht</t>
  </si>
  <si>
    <t>Total du projet avec hypothèque</t>
  </si>
  <si>
    <t>apport par HELIOS sur Zeta</t>
  </si>
  <si>
    <t>2016-2018</t>
  </si>
  <si>
    <t xml:space="preserve">plus value diverses sur ZETA - </t>
  </si>
  <si>
    <t>plus value complémentaire panneaux/elec</t>
  </si>
  <si>
    <t>Zeta (prêt Helios)</t>
  </si>
  <si>
    <t>Zeta (fond + prêt Helios)</t>
  </si>
  <si>
    <t>Financement autre que CIC</t>
  </si>
  <si>
    <t>ZETA</t>
  </si>
  <si>
    <t>1er appels fonds</t>
  </si>
  <si>
    <t>apport Roussel</t>
  </si>
  <si>
    <t>cumul erroné car il y a des frais d'actes dans les montants débloqués du cic</t>
  </si>
  <si>
    <t>Frais de commercialisation BNP RealEstate</t>
  </si>
  <si>
    <t>total réglé au 04-08-2018</t>
  </si>
  <si>
    <t>solde à payer à la levée des réserves Plus value</t>
  </si>
  <si>
    <t>solde à apyer à la levée des réserves VEFA principale</t>
  </si>
  <si>
    <t xml:space="preserve">FINANCEMENT AUDITECH </t>
  </si>
  <si>
    <t>total Prévisionnelle VEFA</t>
  </si>
  <si>
    <t>signature travaux complémentaires financés par  AUDITECH</t>
  </si>
  <si>
    <t>solde</t>
  </si>
  <si>
    <t>levée des réserves  Fact. 2018-09-010</t>
  </si>
  <si>
    <t>virt 19-11-2018</t>
  </si>
  <si>
    <t>ZETA/Helios</t>
  </si>
  <si>
    <t>-</t>
  </si>
  <si>
    <t>apport prêt Helios pour Zeta</t>
  </si>
  <si>
    <t>fait 19-11-18</t>
  </si>
  <si>
    <t>fait 19-11-19</t>
  </si>
  <si>
    <t>solde plus value (35708 HT)</t>
  </si>
  <si>
    <t>MIS A JOUR 19-11-2018</t>
  </si>
  <si>
    <t>assurance emprunteur</t>
  </si>
  <si>
    <t>Coût Mensuel</t>
  </si>
  <si>
    <t>SwissLife Assu Emprunteur</t>
  </si>
  <si>
    <t>Coût Annuel</t>
  </si>
  <si>
    <t>Par Tête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</si>
</sst>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00%"/>
    <numFmt numFmtId="165" formatCode="_-* #,##0\ _€_-;\-* #,##0\ _€_-;_-* &quot;-&quot;??\ _€_-;_-@_-"/>
    <numFmt numFmtId="166" formatCode="[$-40C]d\-mmm\-yy;@"/>
    <numFmt numFmtId="167" formatCode="[$-40C]dd\-mmm\-yy;@"/>
    <numFmt numFmtId="168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0"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0" borderId="1" xfId="0" applyBorder="1"/>
    <xf numFmtId="9" fontId="0" fillId="0" borderId="1" xfId="0" applyNumberFormat="1" applyBorder="1"/>
    <xf numFmtId="43" fontId="0" fillId="0" borderId="1" xfId="1" applyFont="1" applyBorder="1"/>
    <xf numFmtId="165" fontId="0" fillId="0" borderId="1" xfId="1" applyNumberFormat="1" applyFont="1" applyBorder="1"/>
    <xf numFmtId="0" fontId="3" fillId="2" borderId="1" xfId="0" applyFont="1" applyFill="1" applyBorder="1"/>
    <xf numFmtId="1" fontId="3" fillId="2" borderId="1" xfId="0" applyNumberFormat="1" applyFont="1" applyFill="1" applyBorder="1"/>
    <xf numFmtId="0" fontId="0" fillId="2" borderId="1" xfId="0" applyFill="1" applyBorder="1"/>
    <xf numFmtId="1" fontId="0" fillId="2" borderId="1" xfId="0" applyNumberFormat="1" applyFill="1" applyBorder="1"/>
    <xf numFmtId="164" fontId="0" fillId="2" borderId="1" xfId="0" applyNumberFormat="1" applyFill="1" applyBorder="1"/>
    <xf numFmtId="10" fontId="0" fillId="2" borderId="1" xfId="0" applyNumberFormat="1" applyFill="1" applyBorder="1"/>
    <xf numFmtId="1" fontId="0" fillId="2" borderId="1" xfId="1" applyNumberFormat="1" applyFont="1" applyFill="1" applyBorder="1"/>
    <xf numFmtId="0" fontId="0" fillId="3" borderId="0" xfId="0" applyFill="1"/>
    <xf numFmtId="1" fontId="0" fillId="3" borderId="0" xfId="0" applyNumberFormat="1" applyFill="1"/>
    <xf numFmtId="0" fontId="0" fillId="4" borderId="2" xfId="0" applyFont="1" applyFill="1" applyBorder="1"/>
    <xf numFmtId="0" fontId="0" fillId="4" borderId="3" xfId="0" applyFont="1" applyFill="1" applyBorder="1"/>
    <xf numFmtId="1" fontId="0" fillId="4" borderId="4" xfId="0" applyNumberFormat="1" applyFont="1" applyFill="1" applyBorder="1"/>
    <xf numFmtId="0" fontId="2" fillId="2" borderId="0" xfId="0" applyFont="1" applyFill="1"/>
    <xf numFmtId="1" fontId="2" fillId="2" borderId="0" xfId="0" applyNumberFormat="1" applyFont="1" applyFill="1"/>
    <xf numFmtId="165" fontId="0" fillId="0" borderId="0" xfId="1" applyNumberFormat="1" applyFont="1"/>
    <xf numFmtId="0" fontId="3" fillId="0" borderId="1" xfId="0" applyFont="1" applyBorder="1"/>
    <xf numFmtId="0" fontId="4" fillId="0" borderId="0" xfId="0" applyFont="1"/>
    <xf numFmtId="165" fontId="4" fillId="0" borderId="0" xfId="1" applyNumberFormat="1" applyFont="1"/>
    <xf numFmtId="0" fontId="0" fillId="0" borderId="0" xfId="0" applyAlignment="1">
      <alignment wrapText="1"/>
    </xf>
    <xf numFmtId="0" fontId="3" fillId="5" borderId="1" xfId="0" applyFont="1" applyFill="1" applyBorder="1"/>
    <xf numFmtId="0" fontId="0" fillId="5" borderId="1" xfId="0" applyFill="1" applyBorder="1" applyAlignment="1">
      <alignment horizontal="center" wrapText="1"/>
    </xf>
    <xf numFmtId="0" fontId="0" fillId="5" borderId="1" xfId="0" applyFill="1" applyBorder="1" applyAlignment="1">
      <alignment horizontal="center"/>
    </xf>
    <xf numFmtId="165" fontId="0" fillId="0" borderId="0" xfId="0" applyNumberFormat="1"/>
    <xf numFmtId="0" fontId="0" fillId="0" borderId="0" xfId="0" applyAlignment="1">
      <alignment vertical="center"/>
    </xf>
    <xf numFmtId="0" fontId="5" fillId="0" borderId="0" xfId="0" applyFont="1"/>
    <xf numFmtId="0" fontId="0" fillId="0" borderId="0" xfId="0" applyAlignment="1">
      <alignment horizontal="center" wrapText="1"/>
    </xf>
    <xf numFmtId="0" fontId="0" fillId="7" borderId="1" xfId="0" applyFill="1" applyBorder="1"/>
    <xf numFmtId="0" fontId="0" fillId="0" borderId="1" xfId="0" applyBorder="1" applyAlignment="1">
      <alignment horizontal="center" wrapText="1"/>
    </xf>
    <xf numFmtId="165" fontId="0" fillId="0" borderId="1" xfId="0" applyNumberFormat="1" applyBorder="1" applyAlignment="1">
      <alignment horizontal="center" wrapText="1"/>
    </xf>
    <xf numFmtId="165" fontId="0" fillId="0" borderId="1" xfId="0" applyNumberFormat="1" applyBorder="1"/>
    <xf numFmtId="0" fontId="0" fillId="8" borderId="1" xfId="0" applyFill="1" applyBorder="1"/>
    <xf numFmtId="165" fontId="0" fillId="8" borderId="1" xfId="0" applyNumberFormat="1" applyFill="1" applyBorder="1"/>
    <xf numFmtId="0" fontId="3" fillId="6" borderId="1" xfId="0" applyFont="1" applyFill="1" applyBorder="1"/>
    <xf numFmtId="0" fontId="0" fillId="0" borderId="1" xfId="0" applyBorder="1" applyAlignment="1">
      <alignment wrapText="1"/>
    </xf>
    <xf numFmtId="0" fontId="3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7" fontId="0" fillId="0" borderId="1" xfId="0" applyNumberFormat="1" applyBorder="1" applyAlignment="1">
      <alignment horizontal="center"/>
    </xf>
    <xf numFmtId="166" fontId="0" fillId="0" borderId="1" xfId="0" applyNumberFormat="1" applyBorder="1"/>
    <xf numFmtId="167" fontId="0" fillId="0" borderId="1" xfId="0" applyNumberFormat="1" applyBorder="1" applyAlignment="1">
      <alignment horizontal="right"/>
    </xf>
    <xf numFmtId="43" fontId="0" fillId="0" borderId="1" xfId="0" applyNumberFormat="1" applyBorder="1"/>
    <xf numFmtId="2" fontId="0" fillId="0" borderId="0" xfId="0" applyNumberFormat="1"/>
    <xf numFmtId="44" fontId="0" fillId="0" borderId="0" xfId="0" applyNumberFormat="1"/>
    <xf numFmtId="0" fontId="0" fillId="2" borderId="0" xfId="0" applyFill="1" applyBorder="1"/>
    <xf numFmtId="1" fontId="0" fillId="2" borderId="0" xfId="0" applyNumberFormat="1" applyFill="1" applyBorder="1"/>
    <xf numFmtId="14" fontId="0" fillId="3" borderId="0" xfId="0" applyNumberFormat="1" applyFill="1"/>
    <xf numFmtId="0" fontId="0" fillId="9" borderId="0" xfId="0" applyFill="1"/>
    <xf numFmtId="0" fontId="0" fillId="0" borderId="0" xfId="0" applyBorder="1"/>
    <xf numFmtId="165" fontId="0" fillId="0" borderId="0" xfId="1" applyNumberFormat="1" applyFont="1" applyBorder="1"/>
    <xf numFmtId="0" fontId="2" fillId="0" borderId="1" xfId="0" applyFont="1" applyBorder="1"/>
    <xf numFmtId="166" fontId="2" fillId="0" borderId="1" xfId="0" applyNumberFormat="1" applyFont="1" applyBorder="1"/>
    <xf numFmtId="9" fontId="2" fillId="0" borderId="1" xfId="0" applyNumberFormat="1" applyFont="1" applyBorder="1"/>
    <xf numFmtId="43" fontId="2" fillId="0" borderId="1" xfId="1" applyFont="1" applyBorder="1"/>
    <xf numFmtId="0" fontId="2" fillId="0" borderId="0" xfId="0" applyFont="1"/>
    <xf numFmtId="43" fontId="0" fillId="0" borderId="0" xfId="0" applyNumberFormat="1"/>
    <xf numFmtId="1" fontId="0" fillId="0" borderId="0" xfId="0" applyNumberFormat="1"/>
    <xf numFmtId="2" fontId="0" fillId="0" borderId="1" xfId="0" applyNumberFormat="1" applyBorder="1" applyAlignment="1">
      <alignment horizontal="center"/>
    </xf>
    <xf numFmtId="43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68" fontId="0" fillId="0" borderId="1" xfId="1" applyNumberFormat="1" applyFont="1" applyBorder="1"/>
    <xf numFmtId="168" fontId="0" fillId="0" borderId="0" xfId="0" applyNumberFormat="1"/>
    <xf numFmtId="166" fontId="2" fillId="0" borderId="0" xfId="0" applyNumberFormat="1" applyFont="1" applyBorder="1"/>
    <xf numFmtId="9" fontId="2" fillId="0" borderId="0" xfId="0" applyNumberFormat="1" applyFont="1" applyBorder="1"/>
    <xf numFmtId="43" fontId="2" fillId="0" borderId="0" xfId="1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2" borderId="0" xfId="0" applyFill="1"/>
    <xf numFmtId="0" fontId="8" fillId="2" borderId="0" xfId="0" applyFont="1" applyFill="1" applyBorder="1"/>
    <xf numFmtId="9" fontId="8" fillId="2" borderId="0" xfId="0" applyNumberFormat="1" applyFont="1" applyFill="1" applyBorder="1"/>
    <xf numFmtId="0" fontId="8" fillId="2" borderId="0" xfId="0" applyFont="1" applyFill="1" applyBorder="1" applyAlignment="1">
      <alignment horizontal="center"/>
    </xf>
    <xf numFmtId="14" fontId="8" fillId="2" borderId="0" xfId="0" applyNumberFormat="1" applyFont="1" applyFill="1"/>
    <xf numFmtId="0" fontId="8" fillId="2" borderId="0" xfId="0" applyFont="1" applyFill="1"/>
    <xf numFmtId="0" fontId="9" fillId="3" borderId="0" xfId="0" applyFont="1" applyFill="1" applyBorder="1"/>
    <xf numFmtId="166" fontId="9" fillId="3" borderId="0" xfId="0" applyNumberFormat="1" applyFont="1" applyFill="1" applyBorder="1"/>
    <xf numFmtId="9" fontId="9" fillId="3" borderId="0" xfId="0" applyNumberFormat="1" applyFont="1" applyFill="1" applyBorder="1"/>
    <xf numFmtId="43" fontId="9" fillId="3" borderId="0" xfId="1" applyFont="1" applyFill="1" applyBorder="1"/>
    <xf numFmtId="0" fontId="2" fillId="0" borderId="1" xfId="0" applyFont="1" applyBorder="1" applyAlignment="1">
      <alignment wrapText="1"/>
    </xf>
    <xf numFmtId="168" fontId="2" fillId="0" borderId="1" xfId="1" applyNumberFormat="1" applyFont="1" applyBorder="1"/>
    <xf numFmtId="44" fontId="0" fillId="0" borderId="1" xfId="2" applyFont="1" applyBorder="1"/>
    <xf numFmtId="14" fontId="0" fillId="0" borderId="1" xfId="0" applyNumberFormat="1" applyBorder="1"/>
    <xf numFmtId="0" fontId="8" fillId="2" borderId="2" xfId="0" applyFont="1" applyFill="1" applyBorder="1"/>
    <xf numFmtId="166" fontId="8" fillId="2" borderId="3" xfId="0" applyNumberFormat="1" applyFont="1" applyFill="1" applyBorder="1"/>
    <xf numFmtId="9" fontId="8" fillId="2" borderId="3" xfId="0" applyNumberFormat="1" applyFont="1" applyFill="1" applyBorder="1"/>
    <xf numFmtId="43" fontId="8" fillId="2" borderId="3" xfId="1" applyFont="1" applyFill="1" applyBorder="1"/>
    <xf numFmtId="168" fontId="9" fillId="3" borderId="4" xfId="1" applyNumberFormat="1" applyFont="1" applyFill="1" applyBorder="1"/>
    <xf numFmtId="9" fontId="0" fillId="3" borderId="0" xfId="0" applyNumberFormat="1" applyFill="1"/>
    <xf numFmtId="168" fontId="0" fillId="3" borderId="0" xfId="0" applyNumberFormat="1" applyFill="1"/>
    <xf numFmtId="43" fontId="0" fillId="3" borderId="0" xfId="0" applyNumberFormat="1" applyFill="1"/>
    <xf numFmtId="0" fontId="2" fillId="0" borderId="0" xfId="0" applyFont="1" applyAlignment="1">
      <alignment wrapText="1"/>
    </xf>
    <xf numFmtId="17" fontId="0" fillId="0" borderId="0" xfId="0" applyNumberFormat="1" applyAlignment="1">
      <alignment horizontal="center"/>
    </xf>
    <xf numFmtId="0" fontId="0" fillId="5" borderId="5" xfId="0" applyFill="1" applyBorder="1" applyAlignment="1">
      <alignment horizontal="center" wrapText="1"/>
    </xf>
    <xf numFmtId="0" fontId="0" fillId="0" borderId="0" xfId="0" applyAlignment="1">
      <alignment horizontal="right"/>
    </xf>
  </cellXfs>
  <cellStyles count="3">
    <cellStyle name="Milliers" xfId="1" builtinId="3"/>
    <cellStyle name="Monétaire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716280</xdr:colOff>
      <xdr:row>41</xdr:row>
      <xdr:rowOff>30480</xdr:rowOff>
    </xdr:from>
    <xdr:to>
      <xdr:col>8</xdr:col>
      <xdr:colOff>647700</xdr:colOff>
      <xdr:row>48</xdr:row>
      <xdr:rowOff>22860</xdr:rowOff>
    </xdr:to>
    <xdr:sp macro="" textlink="">
      <xdr:nvSpPr>
        <xdr:cNvPr id="4" name="Légende encadrée 2 3"/>
        <xdr:cNvSpPr/>
      </xdr:nvSpPr>
      <xdr:spPr>
        <a:xfrm>
          <a:off x="6728460" y="7360920"/>
          <a:ext cx="3688080" cy="127254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91382"/>
            <a:gd name="adj6" fmla="val -30758"/>
          </a:avLst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tabSelected="1" topLeftCell="A19" zoomScaleNormal="100" workbookViewId="0">
      <selection activeCell="F51" sqref="F51"/>
    </sheetView>
  </sheetViews>
  <sheetFormatPr baseColWidth="10" defaultRowHeight="15" x14ac:dyDescent="0.25"/>
  <cols>
    <col min="1" max="1" width="49.42578125" customWidth="1"/>
    <col min="2" max="2" width="0.140625" customWidth="1"/>
    <col min="6" max="6" width="20.140625" bestFit="1" customWidth="1"/>
  </cols>
  <sheetData>
    <row r="1" spans="1:4" x14ac:dyDescent="0.25">
      <c r="A1" s="1">
        <v>43161</v>
      </c>
    </row>
    <row r="4" spans="1:4" x14ac:dyDescent="0.25">
      <c r="A4" s="2" t="s">
        <v>0</v>
      </c>
      <c r="B4" t="s">
        <v>3</v>
      </c>
    </row>
    <row r="5" spans="1:4" x14ac:dyDescent="0.25">
      <c r="A5" t="s">
        <v>27</v>
      </c>
      <c r="B5" s="21">
        <v>1611000</v>
      </c>
    </row>
    <row r="6" spans="1:4" x14ac:dyDescent="0.25">
      <c r="A6" s="3" t="s">
        <v>8</v>
      </c>
      <c r="B6" s="6">
        <f>B5*0.715%</f>
        <v>11518.65</v>
      </c>
    </row>
    <row r="7" spans="1:4" x14ac:dyDescent="0.25">
      <c r="A7" t="s">
        <v>7</v>
      </c>
      <c r="B7" s="21">
        <v>45000</v>
      </c>
    </row>
    <row r="8" spans="1:4" x14ac:dyDescent="0.25">
      <c r="B8" s="21">
        <f>SUM(B5:B7)</f>
        <v>1667518.65</v>
      </c>
    </row>
    <row r="9" spans="1:4" x14ac:dyDescent="0.25">
      <c r="B9" s="21"/>
    </row>
    <row r="10" spans="1:4" x14ac:dyDescent="0.25">
      <c r="A10" s="2" t="s">
        <v>1</v>
      </c>
      <c r="B10" s="21"/>
    </row>
    <row r="11" spans="1:4" x14ac:dyDescent="0.25">
      <c r="B11" s="21" t="s">
        <v>6</v>
      </c>
    </row>
    <row r="12" spans="1:4" x14ac:dyDescent="0.25">
      <c r="A12" t="s">
        <v>2</v>
      </c>
      <c r="B12" s="21">
        <v>1300000</v>
      </c>
    </row>
    <row r="13" spans="1:4" x14ac:dyDescent="0.25">
      <c r="A13" t="s">
        <v>4</v>
      </c>
      <c r="B13" s="21">
        <f>275000+50000</f>
        <v>325000</v>
      </c>
    </row>
    <row r="14" spans="1:4" x14ac:dyDescent="0.25">
      <c r="A14" t="s">
        <v>5</v>
      </c>
      <c r="B14" s="21">
        <f>-50000+100000</f>
        <v>50000</v>
      </c>
      <c r="D14" t="s">
        <v>99</v>
      </c>
    </row>
    <row r="15" spans="1:4" x14ac:dyDescent="0.25">
      <c r="B15" s="21"/>
    </row>
    <row r="16" spans="1:4" x14ac:dyDescent="0.25">
      <c r="B16" s="21">
        <f>SUM(B12:B15)</f>
        <v>1675000</v>
      </c>
    </row>
    <row r="17" spans="1:4" x14ac:dyDescent="0.25">
      <c r="A17" t="s">
        <v>25</v>
      </c>
      <c r="B17" s="21">
        <v>300000</v>
      </c>
      <c r="C17" t="s">
        <v>26</v>
      </c>
    </row>
    <row r="18" spans="1:4" x14ac:dyDescent="0.25">
      <c r="B18" s="21"/>
    </row>
    <row r="19" spans="1:4" x14ac:dyDescent="0.25">
      <c r="B19" s="21">
        <f>SUM(B16:B18)</f>
        <v>1975000</v>
      </c>
    </row>
    <row r="22" spans="1:4" x14ac:dyDescent="0.25">
      <c r="A22" s="7" t="s">
        <v>9</v>
      </c>
      <c r="B22" s="7" t="s">
        <v>10</v>
      </c>
      <c r="C22" s="8" t="s">
        <v>11</v>
      </c>
      <c r="D22" t="s">
        <v>90</v>
      </c>
    </row>
    <row r="23" spans="1:4" x14ac:dyDescent="0.25">
      <c r="A23" s="9" t="s">
        <v>114</v>
      </c>
      <c r="B23" s="9"/>
      <c r="C23" s="10">
        <v>1770000</v>
      </c>
    </row>
    <row r="24" spans="1:4" x14ac:dyDescent="0.25">
      <c r="A24" s="9" t="s">
        <v>12</v>
      </c>
      <c r="B24" s="9"/>
      <c r="C24" s="10">
        <v>70000</v>
      </c>
    </row>
    <row r="25" spans="1:4" x14ac:dyDescent="0.25">
      <c r="A25" s="9" t="s">
        <v>13</v>
      </c>
      <c r="B25" s="9"/>
      <c r="C25" s="10">
        <v>14000</v>
      </c>
    </row>
    <row r="26" spans="1:4" x14ac:dyDescent="0.25">
      <c r="A26" s="9" t="s">
        <v>14</v>
      </c>
      <c r="B26" s="9"/>
      <c r="C26" s="10">
        <v>47542</v>
      </c>
    </row>
    <row r="27" spans="1:4" x14ac:dyDescent="0.25">
      <c r="A27" s="9"/>
      <c r="B27" s="9"/>
      <c r="C27" s="10">
        <f>SUM(C23:C26)</f>
        <v>1901542</v>
      </c>
    </row>
    <row r="28" spans="1:4" x14ac:dyDescent="0.25">
      <c r="A28" s="9" t="s">
        <v>15</v>
      </c>
      <c r="B28" s="11">
        <v>7.1500000000000001E-3</v>
      </c>
      <c r="C28" s="10">
        <f>((C23+C24+C25+C26)+C37)*B28</f>
        <v>11451.025299999999</v>
      </c>
    </row>
    <row r="29" spans="1:4" x14ac:dyDescent="0.25">
      <c r="A29" s="9" t="s">
        <v>16</v>
      </c>
      <c r="B29" s="12">
        <v>2.5000000000000001E-2</v>
      </c>
      <c r="C29" s="13">
        <v>44250</v>
      </c>
    </row>
    <row r="30" spans="1:4" x14ac:dyDescent="0.25">
      <c r="A30" s="9" t="s">
        <v>17</v>
      </c>
      <c r="B30" s="9" t="s">
        <v>113</v>
      </c>
      <c r="C30" s="10">
        <v>16000</v>
      </c>
      <c r="D30">
        <v>17000</v>
      </c>
    </row>
    <row r="31" spans="1:4" x14ac:dyDescent="0.25">
      <c r="A31" s="9" t="s">
        <v>18</v>
      </c>
      <c r="B31" s="9" t="s">
        <v>113</v>
      </c>
      <c r="C31" s="10">
        <v>1500</v>
      </c>
    </row>
    <row r="32" spans="1:4" x14ac:dyDescent="0.25">
      <c r="A32" s="51" t="s">
        <v>105</v>
      </c>
      <c r="B32" s="51"/>
      <c r="C32" s="52">
        <v>35708</v>
      </c>
    </row>
    <row r="33" spans="1:8" x14ac:dyDescent="0.25">
      <c r="A33" s="14" t="s">
        <v>117</v>
      </c>
      <c r="B33" s="14"/>
      <c r="C33" s="15">
        <f>SUM(C27:C32)</f>
        <v>2010451.0253000001</v>
      </c>
      <c r="D33" s="63">
        <f>C32+C29+C28+C26+C25+C24+C23</f>
        <v>1992951.0252999999</v>
      </c>
    </row>
    <row r="34" spans="1:8" x14ac:dyDescent="0.25">
      <c r="A34" s="7" t="s">
        <v>19</v>
      </c>
      <c r="B34" s="9"/>
      <c r="C34" s="10"/>
    </row>
    <row r="35" spans="1:8" x14ac:dyDescent="0.25">
      <c r="A35" s="9" t="s">
        <v>20</v>
      </c>
      <c r="B35" s="9"/>
      <c r="C35" s="10">
        <v>-325000</v>
      </c>
    </row>
    <row r="36" spans="1:8" x14ac:dyDescent="0.25">
      <c r="A36" s="9" t="s">
        <v>21</v>
      </c>
      <c r="B36" s="9"/>
      <c r="C36" s="10">
        <v>-50000</v>
      </c>
    </row>
    <row r="37" spans="1:8" x14ac:dyDescent="0.25">
      <c r="A37" s="9" t="s">
        <v>22</v>
      </c>
      <c r="B37" s="9"/>
      <c r="C37" s="10">
        <v>-300000</v>
      </c>
    </row>
    <row r="38" spans="1:8" ht="15.75" thickBot="1" x14ac:dyDescent="0.3">
      <c r="A38" s="51"/>
      <c r="B38" s="51"/>
      <c r="C38" s="52">
        <v>0</v>
      </c>
    </row>
    <row r="39" spans="1:8" ht="15.75" thickBot="1" x14ac:dyDescent="0.3">
      <c r="A39" s="16" t="s">
        <v>23</v>
      </c>
      <c r="B39" s="17"/>
      <c r="C39" s="18">
        <f>SUM(C33:C38)</f>
        <v>1335451.0253000001</v>
      </c>
    </row>
    <row r="40" spans="1:8" x14ac:dyDescent="0.25">
      <c r="A40" s="19" t="s">
        <v>24</v>
      </c>
      <c r="B40" s="19"/>
      <c r="C40" s="20">
        <v>1300000</v>
      </c>
    </row>
    <row r="41" spans="1:8" x14ac:dyDescent="0.25">
      <c r="C41" s="63" t="s">
        <v>6</v>
      </c>
    </row>
    <row r="42" spans="1:8" x14ac:dyDescent="0.25">
      <c r="A42" s="53">
        <v>43234</v>
      </c>
      <c r="B42" s="14"/>
      <c r="C42" s="14"/>
      <c r="D42" s="14"/>
      <c r="E42" s="14"/>
      <c r="F42" s="53">
        <v>43234</v>
      </c>
      <c r="G42" s="14"/>
      <c r="H42" s="14"/>
    </row>
    <row r="43" spans="1:8" x14ac:dyDescent="0.25">
      <c r="G43" t="s">
        <v>45</v>
      </c>
      <c r="H43" s="54" t="s">
        <v>109</v>
      </c>
    </row>
    <row r="44" spans="1:8" x14ac:dyDescent="0.25">
      <c r="A44" t="s">
        <v>94</v>
      </c>
      <c r="C44" s="49">
        <v>1300000</v>
      </c>
      <c r="F44" t="s">
        <v>106</v>
      </c>
      <c r="G44">
        <v>386640</v>
      </c>
      <c r="H44" s="54">
        <v>64440</v>
      </c>
    </row>
    <row r="45" spans="1:8" x14ac:dyDescent="0.25">
      <c r="A45" t="s">
        <v>95</v>
      </c>
      <c r="B45" s="1">
        <v>43006</v>
      </c>
      <c r="C45" s="49">
        <v>-531218.24</v>
      </c>
      <c r="F45" t="s">
        <v>102</v>
      </c>
      <c r="G45">
        <v>-90000</v>
      </c>
    </row>
    <row r="46" spans="1:8" x14ac:dyDescent="0.25">
      <c r="A46" t="s">
        <v>96</v>
      </c>
      <c r="B46" s="1">
        <v>43091</v>
      </c>
      <c r="C46" s="49">
        <v>-483300</v>
      </c>
      <c r="F46" t="s">
        <v>98</v>
      </c>
      <c r="G46" s="49">
        <v>-124381.75999999999</v>
      </c>
      <c r="H46" t="s">
        <v>107</v>
      </c>
    </row>
    <row r="47" spans="1:8" x14ac:dyDescent="0.25">
      <c r="A47" t="s">
        <v>100</v>
      </c>
      <c r="B47" s="1">
        <v>43161</v>
      </c>
      <c r="C47" s="49">
        <v>-161100</v>
      </c>
      <c r="D47" t="s">
        <v>3</v>
      </c>
      <c r="F47" t="s">
        <v>103</v>
      </c>
      <c r="G47">
        <v>-172258.24</v>
      </c>
      <c r="H47" t="s">
        <v>108</v>
      </c>
    </row>
    <row r="48" spans="1:8" x14ac:dyDescent="0.25">
      <c r="A48" t="s">
        <v>101</v>
      </c>
      <c r="B48" s="1">
        <v>43234</v>
      </c>
      <c r="C48" s="49">
        <v>-386640</v>
      </c>
      <c r="D48" t="s">
        <v>45</v>
      </c>
      <c r="G48" s="49">
        <f>SUM(G44:G47)</f>
        <v>0</v>
      </c>
    </row>
    <row r="49" spans="1:7" x14ac:dyDescent="0.25">
      <c r="C49" s="49" t="s">
        <v>6</v>
      </c>
      <c r="G49" t="s">
        <v>6</v>
      </c>
    </row>
    <row r="50" spans="1:7" x14ac:dyDescent="0.25">
      <c r="A50" t="s">
        <v>6</v>
      </c>
      <c r="C50" s="49" t="s">
        <v>6</v>
      </c>
      <c r="D50" s="49" t="s">
        <v>6</v>
      </c>
      <c r="G50" t="s">
        <v>6</v>
      </c>
    </row>
  </sheetData>
  <pageMargins left="0.7" right="0.7" top="0.75" bottom="0.75" header="0.3" footer="0.3"/>
  <pageSetup paperSize="9" scale="78" orientation="portrait" r:id="rId1"/>
  <headerFooter>
    <oddHeader>&amp;LZETA SAS
823 169 586 R.C.S. Rouen&amp;R36 Rue de la Forge Féret 
76520 BOOS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F7" zoomScaleNormal="100" workbookViewId="0">
      <selection activeCell="T9" sqref="T9"/>
    </sheetView>
  </sheetViews>
  <sheetFormatPr baseColWidth="10" defaultRowHeight="15" x14ac:dyDescent="0.25"/>
  <cols>
    <col min="1" max="1" width="47.140625" bestFit="1" customWidth="1"/>
    <col min="2" max="2" width="14.28515625" bestFit="1" customWidth="1"/>
    <col min="3" max="3" width="13.28515625" bestFit="1" customWidth="1"/>
    <col min="6" max="6" width="43.28515625" customWidth="1"/>
    <col min="7" max="8" width="12.28515625" customWidth="1"/>
    <col min="10" max="11" width="14.28515625" bestFit="1" customWidth="1"/>
    <col min="13" max="14" width="14.140625" bestFit="1" customWidth="1"/>
    <col min="17" max="17" width="14.7109375" bestFit="1" customWidth="1"/>
    <col min="18" max="18" width="14.140625" bestFit="1" customWidth="1"/>
  </cols>
  <sheetData>
    <row r="1" spans="1:20" x14ac:dyDescent="0.25">
      <c r="A1" s="30" t="s">
        <v>58</v>
      </c>
    </row>
    <row r="3" spans="1:20" x14ac:dyDescent="0.25">
      <c r="A3" s="31" t="s">
        <v>66</v>
      </c>
    </row>
    <row r="4" spans="1:20" x14ac:dyDescent="0.25">
      <c r="A4" s="22" t="s">
        <v>0</v>
      </c>
      <c r="B4" s="3" t="s">
        <v>3</v>
      </c>
    </row>
    <row r="5" spans="1:20" x14ac:dyDescent="0.25">
      <c r="A5" s="3" t="s">
        <v>28</v>
      </c>
      <c r="B5" s="6">
        <v>1611000</v>
      </c>
    </row>
    <row r="6" spans="1:20" x14ac:dyDescent="0.25">
      <c r="A6" s="3" t="s">
        <v>8</v>
      </c>
      <c r="B6" s="6">
        <f>B5*0.715%</f>
        <v>11518.65</v>
      </c>
    </row>
    <row r="7" spans="1:20" x14ac:dyDescent="0.25">
      <c r="A7" s="3" t="s">
        <v>129</v>
      </c>
      <c r="B7" s="6">
        <v>45000</v>
      </c>
      <c r="F7" s="31" t="s">
        <v>59</v>
      </c>
    </row>
    <row r="8" spans="1:20" x14ac:dyDescent="0.25">
      <c r="A8" s="3" t="s">
        <v>121</v>
      </c>
      <c r="B8" s="6">
        <v>35708</v>
      </c>
      <c r="F8" t="s">
        <v>145</v>
      </c>
    </row>
    <row r="9" spans="1:20" ht="45" x14ac:dyDescent="0.25">
      <c r="A9" s="3"/>
      <c r="B9" s="6">
        <f>SUM(B5:B8)</f>
        <v>1703226.65</v>
      </c>
      <c r="F9" s="26" t="s">
        <v>35</v>
      </c>
      <c r="G9" s="27" t="s">
        <v>37</v>
      </c>
      <c r="H9" s="27" t="s">
        <v>90</v>
      </c>
      <c r="I9" s="28" t="s">
        <v>46</v>
      </c>
      <c r="J9" s="28" t="s">
        <v>44</v>
      </c>
      <c r="K9" s="28" t="s">
        <v>45</v>
      </c>
      <c r="L9" s="28"/>
      <c r="M9" s="28" t="s">
        <v>76</v>
      </c>
      <c r="N9" s="27" t="s">
        <v>78</v>
      </c>
      <c r="O9" s="27" t="s">
        <v>124</v>
      </c>
      <c r="P9" s="27" t="s">
        <v>93</v>
      </c>
      <c r="Q9" s="27" t="s">
        <v>97</v>
      </c>
      <c r="R9" s="27" t="s">
        <v>98</v>
      </c>
      <c r="T9" s="98" t="s">
        <v>146</v>
      </c>
    </row>
    <row r="10" spans="1:20" x14ac:dyDescent="0.25">
      <c r="A10" s="3" t="s">
        <v>6</v>
      </c>
      <c r="B10" s="6">
        <f>B5+B8</f>
        <v>1646708</v>
      </c>
      <c r="F10" s="3" t="s">
        <v>38</v>
      </c>
      <c r="G10" s="46">
        <v>42675</v>
      </c>
      <c r="H10" s="46">
        <v>42675</v>
      </c>
      <c r="I10" s="4">
        <v>0.05</v>
      </c>
      <c r="J10" s="67">
        <f>$B$5*I10</f>
        <v>80550</v>
      </c>
      <c r="K10" s="5">
        <f>J10*1.2</f>
        <v>96660</v>
      </c>
      <c r="L10" s="4">
        <v>0.05</v>
      </c>
      <c r="M10" s="3" t="s">
        <v>127</v>
      </c>
      <c r="O10" s="64">
        <v>96660</v>
      </c>
      <c r="P10" s="3"/>
      <c r="Q10" s="3"/>
      <c r="R10" s="86"/>
    </row>
    <row r="11" spans="1:20" x14ac:dyDescent="0.25">
      <c r="A11" s="22" t="s">
        <v>1</v>
      </c>
      <c r="B11" s="6"/>
      <c r="F11" s="3" t="s">
        <v>39</v>
      </c>
      <c r="G11" s="46">
        <v>43007</v>
      </c>
      <c r="H11" s="46">
        <v>43007</v>
      </c>
      <c r="I11" s="4">
        <v>0.25</v>
      </c>
      <c r="J11" s="67">
        <f>$B$5*I11</f>
        <v>402750</v>
      </c>
      <c r="K11" s="5">
        <f t="shared" ref="K11:K20" si="0">J11*1.2</f>
        <v>483300</v>
      </c>
      <c r="L11" s="4">
        <v>0.3</v>
      </c>
      <c r="M11" s="48" t="s">
        <v>77</v>
      </c>
      <c r="N11" s="65">
        <f>K11</f>
        <v>483300</v>
      </c>
      <c r="O11" s="3" t="s">
        <v>6</v>
      </c>
      <c r="P11" s="87">
        <v>43007</v>
      </c>
      <c r="Q11" s="3"/>
      <c r="R11" s="86">
        <f>'financement et déblocage'!C45</f>
        <v>-531218.24</v>
      </c>
    </row>
    <row r="12" spans="1:20" x14ac:dyDescent="0.25">
      <c r="A12" s="3"/>
      <c r="B12" s="6" t="s">
        <v>6</v>
      </c>
      <c r="F12" s="3" t="s">
        <v>91</v>
      </c>
      <c r="G12" s="46"/>
      <c r="H12" s="46">
        <v>42947</v>
      </c>
      <c r="I12" s="4"/>
      <c r="J12" s="67"/>
      <c r="K12" s="5"/>
      <c r="L12" s="4"/>
      <c r="M12" s="48"/>
      <c r="N12" s="65"/>
      <c r="O12" s="3"/>
      <c r="P12" s="3"/>
      <c r="Q12" s="3"/>
      <c r="R12" s="86"/>
    </row>
    <row r="13" spans="1:20" x14ac:dyDescent="0.25">
      <c r="A13" s="3"/>
      <c r="B13" s="6"/>
      <c r="F13" s="3" t="s">
        <v>40</v>
      </c>
      <c r="G13" s="46">
        <v>43038</v>
      </c>
      <c r="H13" s="46">
        <v>43069</v>
      </c>
      <c r="I13" s="4">
        <v>0.3</v>
      </c>
      <c r="J13" s="67">
        <f>$B$5*I13</f>
        <v>483300</v>
      </c>
      <c r="K13" s="5">
        <f t="shared" si="0"/>
        <v>579960</v>
      </c>
      <c r="L13" s="4">
        <v>0.6</v>
      </c>
      <c r="M13" s="48" t="s">
        <v>77</v>
      </c>
      <c r="N13" s="65">
        <f>K13</f>
        <v>579960</v>
      </c>
      <c r="O13" s="3" t="s">
        <v>6</v>
      </c>
      <c r="P13" s="87">
        <v>43081</v>
      </c>
      <c r="Q13" s="3">
        <v>1000000</v>
      </c>
      <c r="R13" s="86">
        <f>'financement et déblocage'!C46</f>
        <v>-483300</v>
      </c>
    </row>
    <row r="14" spans="1:20" x14ac:dyDescent="0.25">
      <c r="A14" s="3" t="s">
        <v>2</v>
      </c>
      <c r="B14" s="6">
        <v>1300000</v>
      </c>
      <c r="F14" s="3" t="s">
        <v>41</v>
      </c>
      <c r="G14" s="46">
        <v>43069</v>
      </c>
      <c r="H14" s="46">
        <v>43084</v>
      </c>
      <c r="I14" s="4">
        <v>0.1</v>
      </c>
      <c r="J14" s="67">
        <f>$B$5*I14</f>
        <v>161100</v>
      </c>
      <c r="K14" s="5">
        <f t="shared" si="0"/>
        <v>193320</v>
      </c>
      <c r="L14" s="4">
        <v>0.7</v>
      </c>
      <c r="M14" s="48" t="s">
        <v>77</v>
      </c>
      <c r="N14" s="65">
        <f>K14</f>
        <v>193320</v>
      </c>
      <c r="O14" s="3" t="s">
        <v>6</v>
      </c>
      <c r="P14" s="87">
        <v>43161</v>
      </c>
      <c r="Q14" s="3"/>
      <c r="R14" s="86">
        <f>'financement et déblocage'!C47</f>
        <v>-161100</v>
      </c>
    </row>
    <row r="15" spans="1:20" x14ac:dyDescent="0.25">
      <c r="A15" s="3" t="s">
        <v>4</v>
      </c>
      <c r="B15" s="6">
        <f>275000+50000</f>
        <v>325000</v>
      </c>
      <c r="F15" s="3" t="s">
        <v>42</v>
      </c>
      <c r="G15" s="47">
        <v>43159</v>
      </c>
      <c r="H15" s="47">
        <v>43249</v>
      </c>
      <c r="I15" s="4">
        <v>0.2</v>
      </c>
      <c r="J15" s="67">
        <f>$B$5*I15</f>
        <v>322200</v>
      </c>
      <c r="K15" s="5">
        <f t="shared" si="0"/>
        <v>386640</v>
      </c>
      <c r="L15" s="4" t="s">
        <v>6</v>
      </c>
      <c r="M15" s="48" t="s">
        <v>104</v>
      </c>
      <c r="N15" s="65">
        <v>124381.75999999999</v>
      </c>
      <c r="O15" s="3" t="s">
        <v>6</v>
      </c>
      <c r="P15" s="3"/>
      <c r="Q15" s="3"/>
      <c r="R15" s="86"/>
    </row>
    <row r="16" spans="1:20" x14ac:dyDescent="0.25">
      <c r="A16" s="3" t="s">
        <v>5</v>
      </c>
      <c r="B16" s="6">
        <f>100000-50000</f>
        <v>50000</v>
      </c>
      <c r="C16" s="61" t="s">
        <v>111</v>
      </c>
      <c r="F16" s="3" t="s">
        <v>120</v>
      </c>
      <c r="G16" s="46">
        <v>43191</v>
      </c>
      <c r="H16" s="46">
        <v>43306</v>
      </c>
      <c r="I16" s="4">
        <v>0.9</v>
      </c>
      <c r="J16" s="67">
        <f>$B$8*I16</f>
        <v>32137.200000000001</v>
      </c>
      <c r="K16" s="5">
        <f>J16*1.2</f>
        <v>38564.639999999999</v>
      </c>
      <c r="L16" s="4" t="s">
        <v>6</v>
      </c>
      <c r="M16" s="3" t="s">
        <v>122</v>
      </c>
      <c r="N16" s="65" t="s">
        <v>6</v>
      </c>
      <c r="O16" s="3" t="s">
        <v>125</v>
      </c>
      <c r="P16" s="87">
        <v>43306</v>
      </c>
      <c r="Q16" s="3"/>
      <c r="R16" s="86"/>
    </row>
    <row r="17" spans="1:19" x14ac:dyDescent="0.25">
      <c r="A17" s="3"/>
      <c r="B17" s="6"/>
      <c r="F17" s="3" t="s">
        <v>43</v>
      </c>
      <c r="G17" s="47">
        <v>43191</v>
      </c>
      <c r="H17" s="47">
        <v>43315</v>
      </c>
      <c r="I17" s="4">
        <v>0.05</v>
      </c>
      <c r="J17" s="67">
        <f>$B$5*I17</f>
        <v>80550</v>
      </c>
      <c r="K17" s="5">
        <f t="shared" si="0"/>
        <v>96660</v>
      </c>
      <c r="L17" s="4" t="s">
        <v>6</v>
      </c>
      <c r="M17" s="3" t="s">
        <v>123</v>
      </c>
      <c r="N17" s="44" t="s">
        <v>6</v>
      </c>
      <c r="O17" s="3" t="s">
        <v>125</v>
      </c>
      <c r="P17" s="87">
        <v>43306</v>
      </c>
      <c r="Q17" s="3">
        <f>80550+32137.2</f>
        <v>112687.2</v>
      </c>
      <c r="R17" s="86">
        <v>0</v>
      </c>
    </row>
    <row r="18" spans="1:19" x14ac:dyDescent="0.25">
      <c r="A18" s="3"/>
      <c r="B18" s="6">
        <f>SUM(B14:B17)</f>
        <v>1675000</v>
      </c>
      <c r="F18" s="3"/>
      <c r="G18" s="47"/>
      <c r="H18" s="47"/>
      <c r="I18" s="4"/>
      <c r="J18" s="67"/>
      <c r="K18" s="5"/>
      <c r="L18" s="4"/>
      <c r="M18" s="3"/>
      <c r="N18" s="44"/>
      <c r="O18" s="3"/>
      <c r="P18" s="87"/>
      <c r="Q18" s="3"/>
      <c r="R18" s="86"/>
    </row>
    <row r="19" spans="1:19" x14ac:dyDescent="0.25">
      <c r="A19" s="55"/>
      <c r="B19" s="56"/>
      <c r="F19" s="57" t="s">
        <v>36</v>
      </c>
      <c r="G19" s="58"/>
      <c r="H19" s="58" t="s">
        <v>112</v>
      </c>
      <c r="I19" s="59">
        <v>0.05</v>
      </c>
      <c r="J19" s="85">
        <f>$B$5*I19</f>
        <v>80550</v>
      </c>
      <c r="K19" s="60">
        <f t="shared" si="0"/>
        <v>96660</v>
      </c>
      <c r="L19" s="59">
        <v>1</v>
      </c>
      <c r="M19" s="57" t="s">
        <v>122</v>
      </c>
      <c r="N19" s="66"/>
      <c r="O19" s="3" t="s">
        <v>139</v>
      </c>
      <c r="P19" s="87">
        <v>43423</v>
      </c>
      <c r="Q19" s="3">
        <v>96660</v>
      </c>
      <c r="R19" s="86" t="s">
        <v>140</v>
      </c>
    </row>
    <row r="20" spans="1:19" x14ac:dyDescent="0.25">
      <c r="A20" s="23" t="s">
        <v>25</v>
      </c>
      <c r="B20" s="24">
        <v>300000</v>
      </c>
      <c r="C20" s="23" t="s">
        <v>26</v>
      </c>
      <c r="F20" s="3" t="s">
        <v>144</v>
      </c>
      <c r="G20" s="46" t="s">
        <v>6</v>
      </c>
      <c r="H20" s="46" t="s">
        <v>6</v>
      </c>
      <c r="I20" s="4">
        <v>0.1</v>
      </c>
      <c r="J20" s="67">
        <v>3570.8</v>
      </c>
      <c r="K20" s="60">
        <f t="shared" si="0"/>
        <v>4284.96</v>
      </c>
      <c r="L20" s="4" t="s">
        <v>6</v>
      </c>
      <c r="M20" s="3" t="s">
        <v>6</v>
      </c>
      <c r="N20" s="65" t="s">
        <v>6</v>
      </c>
      <c r="O20" s="3"/>
      <c r="P20" s="3"/>
      <c r="Q20" s="3"/>
      <c r="R20" s="86"/>
    </row>
    <row r="21" spans="1:19" x14ac:dyDescent="0.25">
      <c r="B21" s="21"/>
      <c r="F21" t="s">
        <v>130</v>
      </c>
      <c r="J21" s="68">
        <f>SUM(J10:J17)</f>
        <v>1562587.2</v>
      </c>
      <c r="K21" s="62">
        <f>SUM(K10:K20)</f>
        <v>1976049.5999999999</v>
      </c>
      <c r="N21" s="49">
        <f>SUM(N10:N20)</f>
        <v>1380961.76</v>
      </c>
      <c r="Q21">
        <f>SUM(Q10:Q18)</f>
        <v>1112687.2</v>
      </c>
      <c r="R21" s="50">
        <f>SUM(R11:R19)</f>
        <v>-1175618.24</v>
      </c>
    </row>
    <row r="22" spans="1:19" x14ac:dyDescent="0.25">
      <c r="B22" s="21">
        <f>SUM(B18:B21)</f>
        <v>1975000</v>
      </c>
      <c r="F22" s="14" t="s">
        <v>131</v>
      </c>
      <c r="G22" s="14"/>
      <c r="H22" s="14"/>
      <c r="I22" s="93">
        <v>0.1</v>
      </c>
      <c r="J22" s="94">
        <f>I22*B8</f>
        <v>3570.8</v>
      </c>
      <c r="K22" s="95" t="s">
        <v>142</v>
      </c>
      <c r="N22" t="s">
        <v>128</v>
      </c>
      <c r="R22" s="50"/>
    </row>
    <row r="23" spans="1:19" x14ac:dyDescent="0.25">
      <c r="F23" s="14" t="s">
        <v>132</v>
      </c>
      <c r="G23" s="14"/>
      <c r="H23" s="14"/>
      <c r="I23" s="93">
        <v>0.05</v>
      </c>
      <c r="J23" s="94">
        <f>J19</f>
        <v>80550</v>
      </c>
      <c r="K23" s="95" t="s">
        <v>143</v>
      </c>
      <c r="R23" s="50"/>
    </row>
    <row r="24" spans="1:19" x14ac:dyDescent="0.25">
      <c r="F24" s="14"/>
      <c r="G24" s="14"/>
      <c r="H24" s="14"/>
      <c r="I24" s="14" t="s">
        <v>3</v>
      </c>
      <c r="J24" s="94">
        <f>J23+J22</f>
        <v>84120.8</v>
      </c>
      <c r="K24" s="95"/>
      <c r="R24" s="50"/>
    </row>
    <row r="25" spans="1:19" x14ac:dyDescent="0.25">
      <c r="A25" s="31" t="s">
        <v>60</v>
      </c>
      <c r="D25" s="43" t="s">
        <v>61</v>
      </c>
      <c r="F25" s="14" t="s">
        <v>134</v>
      </c>
      <c r="G25" s="14"/>
      <c r="H25" s="14"/>
      <c r="I25" s="14" t="s">
        <v>3</v>
      </c>
      <c r="J25" s="94">
        <f>J24+J21</f>
        <v>1646708</v>
      </c>
      <c r="K25" s="95"/>
      <c r="R25" s="50"/>
    </row>
    <row r="26" spans="1:19" x14ac:dyDescent="0.25">
      <c r="A26" s="41" t="s">
        <v>119</v>
      </c>
      <c r="B26" s="42"/>
      <c r="C26" s="43" t="s">
        <v>65</v>
      </c>
      <c r="D26" s="44"/>
      <c r="J26" s="68"/>
      <c r="K26" s="62"/>
      <c r="R26" s="50"/>
    </row>
    <row r="27" spans="1:19" x14ac:dyDescent="0.25">
      <c r="A27" s="44" t="s">
        <v>29</v>
      </c>
      <c r="B27" s="45">
        <v>42675</v>
      </c>
      <c r="C27" s="44">
        <v>1000</v>
      </c>
      <c r="D27" s="44"/>
      <c r="J27" s="68"/>
      <c r="K27" s="62"/>
      <c r="R27" s="50"/>
    </row>
    <row r="28" spans="1:19" ht="45" x14ac:dyDescent="0.25">
      <c r="A28" s="44" t="s">
        <v>30</v>
      </c>
      <c r="B28" s="45">
        <v>42675</v>
      </c>
      <c r="C28" s="44">
        <v>50000</v>
      </c>
      <c r="D28" s="44"/>
      <c r="F28" s="2" t="s">
        <v>133</v>
      </c>
      <c r="G28" s="27" t="s">
        <v>37</v>
      </c>
      <c r="H28" s="27" t="s">
        <v>90</v>
      </c>
      <c r="I28" s="28" t="s">
        <v>46</v>
      </c>
      <c r="J28" s="48" t="s">
        <v>89</v>
      </c>
      <c r="K28" s="48" t="s">
        <v>88</v>
      </c>
      <c r="L28" s="3"/>
      <c r="M28" s="3"/>
      <c r="N28" s="3"/>
      <c r="R28" s="50"/>
    </row>
    <row r="29" spans="1:19" ht="25.15" customHeight="1" x14ac:dyDescent="0.25">
      <c r="A29" s="44" t="s">
        <v>31</v>
      </c>
      <c r="B29" s="45">
        <v>42675</v>
      </c>
      <c r="C29" s="44">
        <v>50000</v>
      </c>
      <c r="D29" s="44"/>
      <c r="F29" s="84" t="s">
        <v>135</v>
      </c>
      <c r="G29" s="58">
        <v>42614</v>
      </c>
      <c r="H29" s="58">
        <v>43221</v>
      </c>
      <c r="I29" s="59"/>
      <c r="J29" s="60">
        <v>300000</v>
      </c>
      <c r="K29" s="60">
        <f>J29*1.2</f>
        <v>360000</v>
      </c>
      <c r="L29" s="59"/>
      <c r="M29" s="57" t="s">
        <v>115</v>
      </c>
      <c r="N29" s="66"/>
      <c r="O29" s="1">
        <v>43018</v>
      </c>
      <c r="P29" t="s">
        <v>116</v>
      </c>
    </row>
    <row r="30" spans="1:19" x14ac:dyDescent="0.25">
      <c r="A30" s="44" t="s">
        <v>118</v>
      </c>
      <c r="B30" s="45">
        <v>43313</v>
      </c>
      <c r="C30" s="44">
        <v>70000</v>
      </c>
      <c r="D30" s="44">
        <v>400</v>
      </c>
      <c r="F30" s="72" t="s">
        <v>126</v>
      </c>
      <c r="G30" s="69">
        <v>42979</v>
      </c>
      <c r="H30" s="69">
        <v>43009</v>
      </c>
      <c r="I30" s="70">
        <v>0.2</v>
      </c>
      <c r="J30" s="71">
        <f>J29*I30</f>
        <v>60000</v>
      </c>
      <c r="K30" s="71">
        <f>J30*1.2</f>
        <v>72000</v>
      </c>
      <c r="L30" s="70"/>
      <c r="M30" s="72" t="s">
        <v>115</v>
      </c>
      <c r="N30" s="73"/>
      <c r="O30" s="1"/>
      <c r="S30" s="74"/>
    </row>
    <row r="31" spans="1:19" x14ac:dyDescent="0.25">
      <c r="A31" s="44" t="s">
        <v>141</v>
      </c>
      <c r="B31" s="45">
        <v>43770</v>
      </c>
      <c r="C31" s="44">
        <v>100000</v>
      </c>
      <c r="D31" s="44"/>
      <c r="F31" s="72"/>
      <c r="G31" s="69"/>
      <c r="H31" s="69"/>
      <c r="I31" s="70"/>
      <c r="J31" s="71"/>
      <c r="K31" s="71"/>
      <c r="L31" s="70"/>
      <c r="M31" s="72"/>
      <c r="N31" s="73"/>
      <c r="O31" s="1"/>
      <c r="S31" s="74"/>
    </row>
    <row r="32" spans="1:19" x14ac:dyDescent="0.25">
      <c r="A32" s="44" t="s">
        <v>32</v>
      </c>
      <c r="B32" s="44"/>
      <c r="C32" s="44"/>
      <c r="D32" s="44">
        <v>96660</v>
      </c>
      <c r="F32" s="72" t="s">
        <v>110</v>
      </c>
      <c r="G32" s="69">
        <v>43221</v>
      </c>
      <c r="H32" s="69">
        <v>43315</v>
      </c>
      <c r="I32" s="70">
        <v>0.9</v>
      </c>
      <c r="J32" s="71">
        <f>J29*I32-J30</f>
        <v>210000</v>
      </c>
      <c r="K32" s="71">
        <f>J32*1.2</f>
        <v>252000</v>
      </c>
      <c r="L32" s="70"/>
      <c r="M32" s="72" t="s">
        <v>115</v>
      </c>
      <c r="N32" s="73"/>
      <c r="O32" s="1"/>
    </row>
    <row r="33" spans="1:18" ht="15.75" thickBot="1" x14ac:dyDescent="0.3">
      <c r="A33" s="44" t="s">
        <v>34</v>
      </c>
      <c r="B33" s="44"/>
      <c r="C33" s="44"/>
      <c r="F33" s="80" t="s">
        <v>137</v>
      </c>
      <c r="G33" s="81"/>
      <c r="H33" s="81">
        <v>43423</v>
      </c>
      <c r="I33" s="82">
        <v>0.1</v>
      </c>
      <c r="J33" s="83">
        <f>J29*I33</f>
        <v>30000</v>
      </c>
      <c r="K33" s="83">
        <f>J33*1.2</f>
        <v>36000</v>
      </c>
      <c r="L33" s="82"/>
      <c r="M33" s="80" t="s">
        <v>115</v>
      </c>
      <c r="N33" s="73" t="s">
        <v>138</v>
      </c>
      <c r="O33" s="1"/>
    </row>
    <row r="34" spans="1:18" ht="15.75" thickBot="1" x14ac:dyDescent="0.3">
      <c r="D34" s="32"/>
      <c r="F34" s="88" t="s">
        <v>136</v>
      </c>
      <c r="G34" s="89"/>
      <c r="H34" s="89"/>
      <c r="I34" s="90"/>
      <c r="J34" s="91"/>
      <c r="K34" s="92">
        <f>K29-K30-K32-K33</f>
        <v>0</v>
      </c>
      <c r="L34" s="76"/>
      <c r="M34" s="75"/>
      <c r="N34" s="77"/>
      <c r="O34" s="78"/>
      <c r="P34" s="79"/>
      <c r="Q34" s="79"/>
      <c r="R34" s="79"/>
    </row>
    <row r="35" spans="1:18" ht="45" x14ac:dyDescent="0.25">
      <c r="A35" s="39">
        <v>2017</v>
      </c>
      <c r="B35" s="34" t="s">
        <v>63</v>
      </c>
      <c r="C35" s="34" t="s">
        <v>62</v>
      </c>
    </row>
    <row r="36" spans="1:18" x14ac:dyDescent="0.25">
      <c r="A36" s="3" t="s">
        <v>52</v>
      </c>
      <c r="B36" s="3"/>
      <c r="C36" s="3"/>
      <c r="F36" t="s">
        <v>67</v>
      </c>
      <c r="G36" t="s">
        <v>68</v>
      </c>
    </row>
    <row r="37" spans="1:18" x14ac:dyDescent="0.25">
      <c r="A37" s="3" t="s">
        <v>33</v>
      </c>
      <c r="B37" s="3"/>
      <c r="C37" s="36">
        <f>J11+J13+J14</f>
        <v>1047150</v>
      </c>
      <c r="F37" t="s">
        <v>69</v>
      </c>
    </row>
    <row r="38" spans="1:18" ht="45" x14ac:dyDescent="0.25">
      <c r="A38" s="40" t="s">
        <v>56</v>
      </c>
      <c r="B38" s="3">
        <v>90000</v>
      </c>
      <c r="C38" s="36" t="s">
        <v>6</v>
      </c>
    </row>
    <row r="39" spans="1:18" x14ac:dyDescent="0.25">
      <c r="C39" s="29"/>
      <c r="D39" s="32"/>
      <c r="F39" t="s">
        <v>70</v>
      </c>
      <c r="G39" s="1">
        <v>42940</v>
      </c>
      <c r="H39" s="1"/>
      <c r="I39" s="1">
        <v>42958</v>
      </c>
    </row>
    <row r="40" spans="1:18" ht="45" x14ac:dyDescent="0.25">
      <c r="A40" s="33">
        <v>2018</v>
      </c>
      <c r="B40" s="34" t="s">
        <v>64</v>
      </c>
      <c r="C40" s="35" t="s">
        <v>62</v>
      </c>
      <c r="F40" t="s">
        <v>71</v>
      </c>
      <c r="G40" s="1">
        <v>42968</v>
      </c>
      <c r="H40" s="1"/>
    </row>
    <row r="41" spans="1:18" x14ac:dyDescent="0.25">
      <c r="A41" s="3" t="s">
        <v>51</v>
      </c>
      <c r="B41" s="3"/>
      <c r="C41" s="36">
        <f>J15+J17+J19</f>
        <v>483300</v>
      </c>
    </row>
    <row r="42" spans="1:18" x14ac:dyDescent="0.25">
      <c r="A42" s="3" t="s">
        <v>53</v>
      </c>
      <c r="B42" s="3">
        <v>13866</v>
      </c>
      <c r="C42" s="3"/>
    </row>
    <row r="43" spans="1:18" x14ac:dyDescent="0.25">
      <c r="A43" s="3" t="s">
        <v>54</v>
      </c>
      <c r="B43" s="3">
        <v>1750</v>
      </c>
      <c r="C43" s="3"/>
      <c r="F43" t="s">
        <v>72</v>
      </c>
      <c r="G43" s="97">
        <v>43221</v>
      </c>
    </row>
    <row r="44" spans="1:18" x14ac:dyDescent="0.25">
      <c r="A44" s="3" t="s">
        <v>55</v>
      </c>
      <c r="B44" s="3">
        <f>SUM(B42:B43)</f>
        <v>15616</v>
      </c>
      <c r="C44" s="3"/>
      <c r="F44" t="s">
        <v>73</v>
      </c>
      <c r="G44" s="97"/>
    </row>
    <row r="45" spans="1:18" x14ac:dyDescent="0.25">
      <c r="A45" s="3"/>
      <c r="B45" s="3"/>
      <c r="C45" s="3"/>
      <c r="F45" t="s">
        <v>74</v>
      </c>
      <c r="G45" s="97"/>
    </row>
    <row r="46" spans="1:18" x14ac:dyDescent="0.25">
      <c r="A46" s="3"/>
      <c r="B46" s="3"/>
      <c r="C46" s="3"/>
      <c r="F46" s="2" t="s">
        <v>75</v>
      </c>
    </row>
    <row r="47" spans="1:18" x14ac:dyDescent="0.25">
      <c r="A47" s="37" t="s">
        <v>47</v>
      </c>
      <c r="B47" s="37">
        <f>B44*9</f>
        <v>140544</v>
      </c>
      <c r="C47" s="38">
        <f>SUM(C37:C41)</f>
        <v>1530450</v>
      </c>
      <c r="F47" s="96"/>
      <c r="G47" t="s">
        <v>79</v>
      </c>
    </row>
    <row r="48" spans="1:18" x14ac:dyDescent="0.25">
      <c r="A48" s="3"/>
      <c r="B48" s="3"/>
      <c r="C48" s="3"/>
      <c r="F48" s="96"/>
      <c r="G48" t="s">
        <v>80</v>
      </c>
    </row>
    <row r="49" spans="1:7" x14ac:dyDescent="0.25">
      <c r="A49" s="3" t="s">
        <v>48</v>
      </c>
      <c r="B49" s="3"/>
      <c r="C49" s="3">
        <v>10000</v>
      </c>
      <c r="F49" s="96"/>
      <c r="G49" t="s">
        <v>81</v>
      </c>
    </row>
    <row r="50" spans="1:7" x14ac:dyDescent="0.25">
      <c r="A50" s="3" t="s">
        <v>49</v>
      </c>
      <c r="B50" s="3"/>
      <c r="C50" s="3">
        <v>2175</v>
      </c>
      <c r="F50" s="96"/>
      <c r="G50" t="s">
        <v>82</v>
      </c>
    </row>
    <row r="51" spans="1:7" x14ac:dyDescent="0.25">
      <c r="A51" s="3" t="s">
        <v>50</v>
      </c>
      <c r="B51" s="3"/>
      <c r="C51" s="3">
        <v>790</v>
      </c>
      <c r="G51" t="s">
        <v>83</v>
      </c>
    </row>
    <row r="52" spans="1:7" x14ac:dyDescent="0.25">
      <c r="A52" s="3"/>
      <c r="B52" s="3"/>
      <c r="C52" s="3">
        <f>SUM(C49:C51)</f>
        <v>12965</v>
      </c>
      <c r="G52" t="s">
        <v>84</v>
      </c>
    </row>
    <row r="53" spans="1:7" x14ac:dyDescent="0.25">
      <c r="G53" t="s">
        <v>85</v>
      </c>
    </row>
    <row r="54" spans="1:7" x14ac:dyDescent="0.25">
      <c r="G54" t="s">
        <v>86</v>
      </c>
    </row>
    <row r="56" spans="1:7" x14ac:dyDescent="0.25">
      <c r="G56" t="s">
        <v>87</v>
      </c>
    </row>
  </sheetData>
  <mergeCells count="2">
    <mergeCell ref="F47:F50"/>
    <mergeCell ref="G43:G45"/>
  </mergeCells>
  <pageMargins left="0.25" right="0.25" top="0.75" bottom="0.75" header="0.3" footer="0.3"/>
  <pageSetup paperSize="9" scale="54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56"/>
  <sheetViews>
    <sheetView topLeftCell="F7" zoomScaleNormal="100" workbookViewId="0">
      <selection activeCell="U15" sqref="U15"/>
    </sheetView>
  </sheetViews>
  <sheetFormatPr baseColWidth="10" defaultRowHeight="15" x14ac:dyDescent="0.25"/>
  <cols>
    <col min="1" max="1" width="47.140625" bestFit="1" customWidth="1"/>
    <col min="2" max="2" width="14.28515625" bestFit="1" customWidth="1"/>
    <col min="3" max="3" width="13.28515625" bestFit="1" customWidth="1"/>
    <col min="6" max="6" width="43.28515625" customWidth="1"/>
    <col min="7" max="8" width="12.28515625" customWidth="1"/>
    <col min="10" max="11" width="14.28515625" bestFit="1" customWidth="1"/>
    <col min="13" max="14" width="14.140625" bestFit="1" customWidth="1"/>
    <col min="17" max="17" width="14.7109375" bestFit="1" customWidth="1"/>
    <col min="18" max="18" width="14.140625" bestFit="1" customWidth="1"/>
    <col min="20" max="20" width="14" customWidth="1"/>
    <col min="21" max="21" width="13.140625" customWidth="1"/>
    <col min="22" max="22" width="13.7109375" customWidth="1"/>
  </cols>
  <sheetData>
    <row r="1" spans="1:22" x14ac:dyDescent="0.25">
      <c r="A1" s="30" t="s">
        <v>58</v>
      </c>
    </row>
    <row r="3" spans="1:22" x14ac:dyDescent="0.25">
      <c r="A3" s="31" t="s">
        <v>66</v>
      </c>
    </row>
    <row r="4" spans="1:22" x14ac:dyDescent="0.25">
      <c r="A4" s="22" t="s">
        <v>0</v>
      </c>
      <c r="B4" s="3" t="s">
        <v>3</v>
      </c>
    </row>
    <row r="5" spans="1:22" x14ac:dyDescent="0.25">
      <c r="A5" s="3" t="s">
        <v>28</v>
      </c>
      <c r="B5" s="6">
        <v>1611000</v>
      </c>
    </row>
    <row r="6" spans="1:22" x14ac:dyDescent="0.25">
      <c r="A6" s="3" t="s">
        <v>8</v>
      </c>
      <c r="B6" s="6">
        <f>B5*0.715%</f>
        <v>11518.65</v>
      </c>
    </row>
    <row r="7" spans="1:22" x14ac:dyDescent="0.25">
      <c r="A7" s="3" t="s">
        <v>129</v>
      </c>
      <c r="B7" s="6">
        <v>45000</v>
      </c>
      <c r="F7" s="31" t="s">
        <v>59</v>
      </c>
    </row>
    <row r="8" spans="1:22" x14ac:dyDescent="0.25">
      <c r="A8" s="3" t="s">
        <v>121</v>
      </c>
      <c r="B8" s="6">
        <v>35708</v>
      </c>
      <c r="F8" t="s">
        <v>145</v>
      </c>
    </row>
    <row r="9" spans="1:22" ht="45" x14ac:dyDescent="0.25">
      <c r="A9" s="3"/>
      <c r="B9" s="6">
        <f>SUM(B5:B8)</f>
        <v>1703226.65</v>
      </c>
      <c r="F9" s="26" t="s">
        <v>35</v>
      </c>
      <c r="G9" s="27" t="s">
        <v>37</v>
      </c>
      <c r="H9" s="27" t="s">
        <v>90</v>
      </c>
      <c r="I9" s="28" t="s">
        <v>46</v>
      </c>
      <c r="J9" s="28" t="s">
        <v>44</v>
      </c>
      <c r="K9" s="28" t="s">
        <v>45</v>
      </c>
      <c r="L9" s="28"/>
      <c r="M9" s="28" t="s">
        <v>76</v>
      </c>
      <c r="N9" s="27" t="s">
        <v>78</v>
      </c>
      <c r="O9" s="27" t="s">
        <v>124</v>
      </c>
      <c r="P9" s="27" t="s">
        <v>93</v>
      </c>
      <c r="Q9" s="27" t="s">
        <v>97</v>
      </c>
      <c r="R9" s="27" t="s">
        <v>98</v>
      </c>
      <c r="T9" t="s">
        <v>147</v>
      </c>
      <c r="U9" t="s">
        <v>148</v>
      </c>
      <c r="V9" t="s">
        <v>149</v>
      </c>
    </row>
    <row r="10" spans="1:22" x14ac:dyDescent="0.25">
      <c r="A10" s="3" t="s">
        <v>6</v>
      </c>
      <c r="B10" s="6">
        <f>B5+B8</f>
        <v>1646708</v>
      </c>
      <c r="F10" s="3" t="s">
        <v>38</v>
      </c>
      <c r="G10" s="46">
        <v>42675</v>
      </c>
      <c r="H10" s="46">
        <v>42675</v>
      </c>
      <c r="I10" s="4">
        <v>0.05</v>
      </c>
      <c r="J10" s="67">
        <f>$B$5*I10</f>
        <v>80550</v>
      </c>
      <c r="K10" s="5">
        <f>J10*1.2</f>
        <v>96660</v>
      </c>
      <c r="L10" s="4">
        <v>0.05</v>
      </c>
      <c r="M10" s="3" t="s">
        <v>127</v>
      </c>
      <c r="O10" s="64">
        <v>96660</v>
      </c>
      <c r="P10" s="3"/>
      <c r="Q10" s="3"/>
      <c r="R10" s="86"/>
      <c r="U10">
        <v>2017</v>
      </c>
    </row>
    <row r="11" spans="1:22" x14ac:dyDescent="0.25">
      <c r="A11" s="22" t="s">
        <v>1</v>
      </c>
      <c r="B11" s="6"/>
      <c r="F11" s="3" t="s">
        <v>39</v>
      </c>
      <c r="G11" s="46">
        <v>43007</v>
      </c>
      <c r="H11" s="46">
        <v>43007</v>
      </c>
      <c r="I11" s="4">
        <v>0.25</v>
      </c>
      <c r="J11" s="67">
        <f>$B$5*I11</f>
        <v>402750</v>
      </c>
      <c r="K11" s="5">
        <f t="shared" ref="K11:K20" si="0">J11*1.2</f>
        <v>483300</v>
      </c>
      <c r="L11" s="4">
        <v>0.3</v>
      </c>
      <c r="M11" s="48" t="s">
        <v>77</v>
      </c>
      <c r="N11" s="65">
        <f>K11</f>
        <v>483300</v>
      </c>
      <c r="O11" s="3" t="s">
        <v>6</v>
      </c>
      <c r="P11" s="87">
        <v>43007</v>
      </c>
      <c r="Q11" s="3"/>
      <c r="R11" s="86">
        <f>'financement et déblocage'!C45</f>
        <v>-531218.24</v>
      </c>
      <c r="U11">
        <v>2018</v>
      </c>
    </row>
    <row r="12" spans="1:22" x14ac:dyDescent="0.25">
      <c r="A12" s="3"/>
      <c r="B12" s="6" t="s">
        <v>6</v>
      </c>
      <c r="F12" s="3" t="s">
        <v>91</v>
      </c>
      <c r="G12" s="46"/>
      <c r="H12" s="46">
        <v>42947</v>
      </c>
      <c r="I12" s="4"/>
      <c r="J12" s="67"/>
      <c r="K12" s="5"/>
      <c r="L12" s="4"/>
      <c r="M12" s="48"/>
      <c r="N12" s="65"/>
      <c r="O12" s="3"/>
      <c r="P12" s="3"/>
      <c r="Q12" s="3"/>
      <c r="R12" s="86"/>
      <c r="U12">
        <v>2019</v>
      </c>
    </row>
    <row r="13" spans="1:22" x14ac:dyDescent="0.25">
      <c r="A13" s="3"/>
      <c r="B13" s="6"/>
      <c r="F13" s="3" t="s">
        <v>40</v>
      </c>
      <c r="G13" s="46">
        <v>43038</v>
      </c>
      <c r="H13" s="46">
        <v>43069</v>
      </c>
      <c r="I13" s="4">
        <v>0.3</v>
      </c>
      <c r="J13" s="67">
        <f>$B$5*I13</f>
        <v>483300</v>
      </c>
      <c r="K13" s="5">
        <f t="shared" si="0"/>
        <v>579960</v>
      </c>
      <c r="L13" s="4">
        <v>0.6</v>
      </c>
      <c r="M13" s="48" t="s">
        <v>77</v>
      </c>
      <c r="N13" s="65">
        <f>K13</f>
        <v>579960</v>
      </c>
      <c r="O13" s="3" t="s">
        <v>6</v>
      </c>
      <c r="P13" s="87">
        <v>43081</v>
      </c>
      <c r="Q13" s="3">
        <v>1000000</v>
      </c>
      <c r="R13" s="86">
        <f>'financement et déblocage'!C46</f>
        <v>-483300</v>
      </c>
      <c r="U13">
        <v>2020</v>
      </c>
    </row>
    <row r="14" spans="1:22" x14ac:dyDescent="0.25">
      <c r="A14" s="3" t="s">
        <v>2</v>
      </c>
      <c r="B14" s="6">
        <v>1300000</v>
      </c>
      <c r="F14" s="3" t="s">
        <v>41</v>
      </c>
      <c r="G14" s="46">
        <v>43069</v>
      </c>
      <c r="H14" s="46">
        <v>43084</v>
      </c>
      <c r="I14" s="4">
        <v>0.1</v>
      </c>
      <c r="J14" s="67">
        <f>$B$5*I14</f>
        <v>161100</v>
      </c>
      <c r="K14" s="5">
        <f t="shared" si="0"/>
        <v>193320</v>
      </c>
      <c r="L14" s="4">
        <v>0.7</v>
      </c>
      <c r="M14" s="48" t="s">
        <v>77</v>
      </c>
      <c r="N14" s="65">
        <f>K14</f>
        <v>193320</v>
      </c>
      <c r="O14" s="3" t="s">
        <v>6</v>
      </c>
      <c r="P14" s="87">
        <v>43161</v>
      </c>
      <c r="Q14" s="3"/>
      <c r="R14" s="86">
        <f>'financement et déblocage'!C47</f>
        <v>-161100</v>
      </c>
      <c r="U14">
        <v>2021</v>
      </c>
    </row>
    <row r="15" spans="1:22" x14ac:dyDescent="0.25">
      <c r="A15" s="3" t="s">
        <v>4</v>
      </c>
      <c r="B15" s="6">
        <f>275000+50000</f>
        <v>325000</v>
      </c>
      <c r="F15" s="3" t="s">
        <v>42</v>
      </c>
      <c r="G15" s="47">
        <v>43159</v>
      </c>
      <c r="H15" s="47">
        <v>43249</v>
      </c>
      <c r="I15" s="4">
        <v>0.2</v>
      </c>
      <c r="J15" s="67">
        <f>$B$5*I15</f>
        <v>322200</v>
      </c>
      <c r="K15" s="5">
        <f t="shared" si="0"/>
        <v>386640</v>
      </c>
      <c r="L15" s="4" t="s">
        <v>6</v>
      </c>
      <c r="M15" s="48" t="s">
        <v>104</v>
      </c>
      <c r="N15" s="65">
        <v>124381.75999999999</v>
      </c>
      <c r="O15" s="3" t="s">
        <v>6</v>
      </c>
      <c r="P15" s="3"/>
      <c r="Q15" s="3"/>
      <c r="R15" s="86"/>
    </row>
    <row r="16" spans="1:22" x14ac:dyDescent="0.25">
      <c r="A16" s="3" t="s">
        <v>5</v>
      </c>
      <c r="B16" s="6">
        <f>100000-50000</f>
        <v>50000</v>
      </c>
      <c r="C16" s="61" t="s">
        <v>111</v>
      </c>
      <c r="F16" s="3" t="s">
        <v>120</v>
      </c>
      <c r="G16" s="46">
        <v>43191</v>
      </c>
      <c r="H16" s="46">
        <v>43306</v>
      </c>
      <c r="I16" s="4">
        <v>0.9</v>
      </c>
      <c r="J16" s="67">
        <f>$B$8*I16</f>
        <v>32137.200000000001</v>
      </c>
      <c r="K16" s="5">
        <f>J16*1.2</f>
        <v>38564.639999999999</v>
      </c>
      <c r="L16" s="4" t="s">
        <v>6</v>
      </c>
      <c r="M16" s="3" t="s">
        <v>122</v>
      </c>
      <c r="N16" s="65" t="s">
        <v>6</v>
      </c>
      <c r="O16" s="3" t="s">
        <v>125</v>
      </c>
      <c r="P16" s="87">
        <v>43306</v>
      </c>
      <c r="Q16" s="3"/>
      <c r="R16" s="86"/>
    </row>
    <row r="17" spans="1:22" x14ac:dyDescent="0.25">
      <c r="A17" s="3"/>
      <c r="B17" s="6"/>
      <c r="F17" s="3" t="s">
        <v>43</v>
      </c>
      <c r="G17" s="47">
        <v>43191</v>
      </c>
      <c r="H17" s="47">
        <v>43315</v>
      </c>
      <c r="I17" s="4">
        <v>0.05</v>
      </c>
      <c r="J17" s="67">
        <f>$B$5*I17</f>
        <v>80550</v>
      </c>
      <c r="K17" s="5">
        <f t="shared" si="0"/>
        <v>96660</v>
      </c>
      <c r="L17" s="4" t="s">
        <v>6</v>
      </c>
      <c r="M17" s="3" t="s">
        <v>123</v>
      </c>
      <c r="N17" s="44" t="s">
        <v>6</v>
      </c>
      <c r="O17" s="3" t="s">
        <v>125</v>
      </c>
      <c r="P17" s="87">
        <v>43306</v>
      </c>
      <c r="Q17" s="3">
        <f>80550+32137.2</f>
        <v>112687.2</v>
      </c>
      <c r="R17" s="86">
        <v>0</v>
      </c>
    </row>
    <row r="18" spans="1:22" x14ac:dyDescent="0.25">
      <c r="A18" s="3"/>
      <c r="B18" s="6">
        <f>SUM(B14:B17)</f>
        <v>1675000</v>
      </c>
      <c r="F18" s="3"/>
      <c r="G18" s="47"/>
      <c r="H18" s="47"/>
      <c r="I18" s="4"/>
      <c r="J18" s="67"/>
      <c r="K18" s="5"/>
      <c r="L18" s="4"/>
      <c r="M18" s="3"/>
      <c r="N18" s="44"/>
      <c r="O18" s="3"/>
      <c r="P18" s="87"/>
      <c r="Q18" s="3"/>
      <c r="R18" s="86"/>
    </row>
    <row r="19" spans="1:22" x14ac:dyDescent="0.25">
      <c r="A19" s="55"/>
      <c r="B19" s="56"/>
      <c r="F19" s="57" t="s">
        <v>36</v>
      </c>
      <c r="G19" s="58"/>
      <c r="H19" s="58" t="s">
        <v>112</v>
      </c>
      <c r="I19" s="59">
        <v>0.05</v>
      </c>
      <c r="J19" s="85">
        <f>$B$5*I19</f>
        <v>80550</v>
      </c>
      <c r="K19" s="60">
        <f t="shared" si="0"/>
        <v>96660</v>
      </c>
      <c r="L19" s="59">
        <v>1</v>
      </c>
      <c r="M19" s="57" t="s">
        <v>122</v>
      </c>
      <c r="N19" s="66"/>
      <c r="O19" s="3" t="s">
        <v>139</v>
      </c>
      <c r="P19" s="87">
        <v>43423</v>
      </c>
      <c r="Q19" s="3">
        <v>96660</v>
      </c>
      <c r="R19" s="86" t="s">
        <v>140</v>
      </c>
    </row>
    <row r="20" spans="1:22" x14ac:dyDescent="0.25">
      <c r="A20" s="23" t="s">
        <v>25</v>
      </c>
      <c r="B20" s="24">
        <v>300000</v>
      </c>
      <c r="C20" s="23" t="s">
        <v>26</v>
      </c>
      <c r="F20" s="3" t="s">
        <v>144</v>
      </c>
      <c r="G20" s="46" t="s">
        <v>6</v>
      </c>
      <c r="H20" s="46" t="s">
        <v>6</v>
      </c>
      <c r="I20" s="4">
        <v>0.1</v>
      </c>
      <c r="J20" s="67">
        <v>3570.8</v>
      </c>
      <c r="K20" s="60">
        <f t="shared" si="0"/>
        <v>4284.96</v>
      </c>
      <c r="L20" s="4" t="s">
        <v>6</v>
      </c>
      <c r="M20" s="3" t="s">
        <v>6</v>
      </c>
      <c r="N20" s="65" t="s">
        <v>6</v>
      </c>
      <c r="O20" s="3"/>
      <c r="P20" s="3"/>
      <c r="Q20" s="3"/>
      <c r="R20" s="86"/>
    </row>
    <row r="21" spans="1:22" x14ac:dyDescent="0.25">
      <c r="B21" s="21"/>
      <c r="F21" t="s">
        <v>130</v>
      </c>
      <c r="J21" s="68">
        <f>SUM(J10:J17)</f>
        <v>1562587.2</v>
      </c>
      <c r="K21" s="62">
        <f>SUM(K10:K20)</f>
        <v>1976049.5999999999</v>
      </c>
      <c r="N21" s="49">
        <f>SUM(N10:N20)</f>
        <v>1380961.76</v>
      </c>
      <c r="Q21">
        <f>SUM(Q10:Q18)</f>
        <v>1112687.2</v>
      </c>
      <c r="R21" s="50">
        <f>SUM(R11:R19)</f>
        <v>-1175618.24</v>
      </c>
    </row>
    <row r="22" spans="1:22" x14ac:dyDescent="0.25">
      <c r="B22" s="21">
        <f>SUM(B18:B21)</f>
        <v>1975000</v>
      </c>
      <c r="F22" s="14" t="s">
        <v>131</v>
      </c>
      <c r="G22" s="14"/>
      <c r="H22" s="14"/>
      <c r="I22" s="93">
        <v>0.1</v>
      </c>
      <c r="J22" s="94">
        <f>I22*B8</f>
        <v>3570.8</v>
      </c>
      <c r="K22" s="95" t="s">
        <v>142</v>
      </c>
      <c r="N22" t="s">
        <v>128</v>
      </c>
      <c r="R22" s="50"/>
    </row>
    <row r="23" spans="1:22" x14ac:dyDescent="0.25">
      <c r="F23" s="14" t="s">
        <v>132</v>
      </c>
      <c r="G23" s="14"/>
      <c r="H23" s="14"/>
      <c r="I23" s="93">
        <v>0.05</v>
      </c>
      <c r="J23" s="94">
        <f>J19</f>
        <v>80550</v>
      </c>
      <c r="K23" s="95" t="s">
        <v>143</v>
      </c>
      <c r="R23" s="50"/>
    </row>
    <row r="24" spans="1:22" x14ac:dyDescent="0.25">
      <c r="F24" s="14"/>
      <c r="G24" s="14"/>
      <c r="H24" s="14"/>
      <c r="I24" s="14" t="s">
        <v>3</v>
      </c>
      <c r="J24" s="94">
        <f>J23+J22</f>
        <v>84120.8</v>
      </c>
      <c r="K24" s="95"/>
      <c r="R24" s="50"/>
    </row>
    <row r="25" spans="1:22" x14ac:dyDescent="0.25">
      <c r="A25" s="31" t="s">
        <v>60</v>
      </c>
      <c r="D25" s="43" t="s">
        <v>61</v>
      </c>
      <c r="F25" s="14" t="s">
        <v>134</v>
      </c>
      <c r="G25" s="14"/>
      <c r="H25" s="14"/>
      <c r="I25" s="14" t="s">
        <v>3</v>
      </c>
      <c r="J25" s="94">
        <f>J24+J21</f>
        <v>1646708</v>
      </c>
      <c r="K25" s="95"/>
      <c r="R25" s="50"/>
      <c r="T25">
        <v>210.02</v>
      </c>
      <c r="U25">
        <v>2022</v>
      </c>
      <c r="V25" s="63">
        <f>4*T25</f>
        <v>840.08</v>
      </c>
    </row>
    <row r="26" spans="1:22" x14ac:dyDescent="0.25">
      <c r="A26" s="41" t="s">
        <v>119</v>
      </c>
      <c r="B26" s="42"/>
      <c r="C26" s="43" t="s">
        <v>65</v>
      </c>
      <c r="D26" s="44"/>
      <c r="J26" s="68"/>
      <c r="K26" s="62"/>
      <c r="R26" s="50"/>
      <c r="T26">
        <v>202.55</v>
      </c>
      <c r="U26">
        <v>2023</v>
      </c>
      <c r="V26" s="63">
        <f>12*T26</f>
        <v>2430.6000000000004</v>
      </c>
    </row>
    <row r="27" spans="1:22" x14ac:dyDescent="0.25">
      <c r="A27" s="44" t="s">
        <v>29</v>
      </c>
      <c r="B27" s="45">
        <v>42675</v>
      </c>
      <c r="C27" s="44">
        <v>1000</v>
      </c>
      <c r="D27" s="44"/>
      <c r="J27" s="68"/>
      <c r="K27" s="62"/>
      <c r="R27" s="50"/>
      <c r="T27">
        <v>182.86</v>
      </c>
      <c r="U27">
        <v>2024</v>
      </c>
      <c r="V27" s="63">
        <f>12*T27</f>
        <v>2194.3200000000002</v>
      </c>
    </row>
    <row r="28" spans="1:22" ht="45" x14ac:dyDescent="0.25">
      <c r="A28" s="44" t="s">
        <v>30</v>
      </c>
      <c r="B28" s="45">
        <v>42675</v>
      </c>
      <c r="C28" s="44">
        <v>50000</v>
      </c>
      <c r="D28" s="44"/>
      <c r="F28" s="2" t="s">
        <v>133</v>
      </c>
      <c r="G28" s="27" t="s">
        <v>37</v>
      </c>
      <c r="H28" s="27" t="s">
        <v>90</v>
      </c>
      <c r="I28" s="28" t="s">
        <v>46</v>
      </c>
      <c r="J28" s="48" t="s">
        <v>89</v>
      </c>
      <c r="K28" s="48" t="s">
        <v>88</v>
      </c>
      <c r="L28" s="3"/>
      <c r="M28" s="3"/>
      <c r="N28" s="3"/>
      <c r="R28" s="50"/>
      <c r="T28">
        <v>147.26</v>
      </c>
      <c r="U28">
        <v>2025</v>
      </c>
      <c r="V28" s="63">
        <f>12*T28</f>
        <v>1767.12</v>
      </c>
    </row>
    <row r="29" spans="1:22" ht="25.15" customHeight="1" x14ac:dyDescent="0.25">
      <c r="A29" s="44" t="s">
        <v>31</v>
      </c>
      <c r="B29" s="45">
        <v>42675</v>
      </c>
      <c r="C29" s="44">
        <v>50000</v>
      </c>
      <c r="D29" s="44"/>
      <c r="F29" s="84" t="s">
        <v>135</v>
      </c>
      <c r="G29" s="58">
        <v>42614</v>
      </c>
      <c r="H29" s="58">
        <v>43221</v>
      </c>
      <c r="I29" s="59"/>
      <c r="J29" s="60">
        <v>300000</v>
      </c>
      <c r="K29" s="60">
        <f>J29*1.2</f>
        <v>360000</v>
      </c>
      <c r="L29" s="59"/>
      <c r="M29" s="57" t="s">
        <v>115</v>
      </c>
      <c r="N29" s="66"/>
      <c r="O29" s="1">
        <v>43018</v>
      </c>
      <c r="P29" t="s">
        <v>116</v>
      </c>
      <c r="T29">
        <v>110.88</v>
      </c>
      <c r="U29">
        <v>2026</v>
      </c>
      <c r="V29" s="63">
        <f>12*T29</f>
        <v>1330.56</v>
      </c>
    </row>
    <row r="30" spans="1:22" x14ac:dyDescent="0.25">
      <c r="A30" s="44" t="s">
        <v>118</v>
      </c>
      <c r="B30" s="45">
        <v>43313</v>
      </c>
      <c r="C30" s="44">
        <v>70000</v>
      </c>
      <c r="D30" s="44">
        <v>400</v>
      </c>
      <c r="F30" s="72" t="s">
        <v>126</v>
      </c>
      <c r="G30" s="69">
        <v>42979</v>
      </c>
      <c r="H30" s="69">
        <v>43009</v>
      </c>
      <c r="I30" s="70">
        <v>0.2</v>
      </c>
      <c r="J30" s="71">
        <f>J29*I30</f>
        <v>60000</v>
      </c>
      <c r="K30" s="71">
        <f>J30*1.2</f>
        <v>72000</v>
      </c>
      <c r="L30" s="70"/>
      <c r="M30" s="72" t="s">
        <v>115</v>
      </c>
      <c r="N30" s="73"/>
      <c r="O30" s="1"/>
      <c r="S30" s="74"/>
      <c r="T30">
        <v>64.28</v>
      </c>
      <c r="U30">
        <v>2027</v>
      </c>
      <c r="V30" s="63">
        <f t="shared" ref="V30:V32" si="1">12*T30</f>
        <v>771.36</v>
      </c>
    </row>
    <row r="31" spans="1:22" x14ac:dyDescent="0.25">
      <c r="A31" s="44" t="s">
        <v>141</v>
      </c>
      <c r="B31" s="45">
        <v>43770</v>
      </c>
      <c r="C31" s="44">
        <v>100000</v>
      </c>
      <c r="D31" s="44"/>
      <c r="F31" s="72"/>
      <c r="G31" s="69"/>
      <c r="H31" s="69"/>
      <c r="I31" s="70"/>
      <c r="J31" s="71"/>
      <c r="K31" s="71"/>
      <c r="L31" s="70"/>
      <c r="M31" s="72"/>
      <c r="N31" s="73"/>
      <c r="O31" s="1"/>
      <c r="S31" s="74"/>
      <c r="T31">
        <v>37.409999999999997</v>
      </c>
      <c r="U31">
        <v>2028</v>
      </c>
      <c r="V31" s="63">
        <f t="shared" si="1"/>
        <v>448.91999999999996</v>
      </c>
    </row>
    <row r="32" spans="1:22" x14ac:dyDescent="0.25">
      <c r="A32" s="44" t="s">
        <v>32</v>
      </c>
      <c r="B32" s="44"/>
      <c r="C32" s="44"/>
      <c r="D32" s="44">
        <v>96660</v>
      </c>
      <c r="F32" s="72" t="s">
        <v>110</v>
      </c>
      <c r="G32" s="69">
        <v>43221</v>
      </c>
      <c r="H32" s="69">
        <v>43315</v>
      </c>
      <c r="I32" s="70">
        <v>0.9</v>
      </c>
      <c r="J32" s="71">
        <f>J29*I32-J30</f>
        <v>210000</v>
      </c>
      <c r="K32" s="71">
        <f>J32*1.2</f>
        <v>252000</v>
      </c>
      <c r="L32" s="70"/>
      <c r="M32" s="72" t="s">
        <v>115</v>
      </c>
      <c r="N32" s="73"/>
      <c r="O32" s="1"/>
      <c r="T32">
        <v>18.29</v>
      </c>
      <c r="U32">
        <v>2029</v>
      </c>
      <c r="V32" s="63">
        <f t="shared" si="1"/>
        <v>219.48</v>
      </c>
    </row>
    <row r="33" spans="1:22" ht="15.75" thickBot="1" x14ac:dyDescent="0.3">
      <c r="A33" s="44" t="s">
        <v>34</v>
      </c>
      <c r="B33" s="44"/>
      <c r="C33" s="44"/>
      <c r="F33" s="80" t="s">
        <v>137</v>
      </c>
      <c r="G33" s="81"/>
      <c r="H33" s="81">
        <v>43423</v>
      </c>
      <c r="I33" s="82">
        <v>0.1</v>
      </c>
      <c r="J33" s="83">
        <f>J29*I33</f>
        <v>30000</v>
      </c>
      <c r="K33" s="83">
        <f>J33*1.2</f>
        <v>36000</v>
      </c>
      <c r="L33" s="82"/>
      <c r="M33" s="80" t="s">
        <v>115</v>
      </c>
      <c r="N33" s="73" t="s">
        <v>138</v>
      </c>
      <c r="O33" s="1"/>
      <c r="T33">
        <v>7.36</v>
      </c>
      <c r="U33">
        <v>2030</v>
      </c>
      <c r="V33" s="63">
        <f>12*T33</f>
        <v>88.320000000000007</v>
      </c>
    </row>
    <row r="34" spans="1:22" ht="15.75" thickBot="1" x14ac:dyDescent="0.3">
      <c r="D34" s="32"/>
      <c r="F34" s="88" t="s">
        <v>136</v>
      </c>
      <c r="G34" s="89"/>
      <c r="H34" s="89"/>
      <c r="I34" s="90"/>
      <c r="J34" s="91"/>
      <c r="K34" s="92">
        <f>K29-K30-K32-K33</f>
        <v>0</v>
      </c>
      <c r="L34" s="76"/>
      <c r="M34" s="75"/>
      <c r="N34" s="77"/>
      <c r="O34" s="78"/>
      <c r="P34" s="79"/>
      <c r="Q34" s="79"/>
      <c r="R34" s="79"/>
      <c r="V34" s="63"/>
    </row>
    <row r="35" spans="1:22" ht="45" x14ac:dyDescent="0.25">
      <c r="A35" s="39">
        <v>2017</v>
      </c>
      <c r="B35" s="34" t="s">
        <v>63</v>
      </c>
      <c r="C35" s="34" t="s">
        <v>62</v>
      </c>
      <c r="U35" s="99" t="s">
        <v>150</v>
      </c>
      <c r="V35" s="63">
        <f>SUM(V25:V33)</f>
        <v>10090.76</v>
      </c>
    </row>
    <row r="36" spans="1:22" x14ac:dyDescent="0.25">
      <c r="A36" s="3" t="s">
        <v>52</v>
      </c>
      <c r="B36" s="3"/>
      <c r="C36" s="3"/>
      <c r="F36" t="s">
        <v>67</v>
      </c>
      <c r="G36" t="s">
        <v>68</v>
      </c>
    </row>
    <row r="37" spans="1:22" x14ac:dyDescent="0.25">
      <c r="A37" s="3" t="s">
        <v>33</v>
      </c>
      <c r="B37" s="3"/>
      <c r="C37" s="36">
        <f>J11+J13+J14</f>
        <v>1047150</v>
      </c>
      <c r="F37" t="s">
        <v>69</v>
      </c>
    </row>
    <row r="38" spans="1:22" ht="45" x14ac:dyDescent="0.25">
      <c r="A38" s="40" t="s">
        <v>56</v>
      </c>
      <c r="B38" s="3">
        <v>90000</v>
      </c>
      <c r="C38" s="36" t="s">
        <v>6</v>
      </c>
    </row>
    <row r="39" spans="1:22" x14ac:dyDescent="0.25">
      <c r="C39" s="29"/>
      <c r="D39" s="32"/>
      <c r="F39" t="s">
        <v>70</v>
      </c>
      <c r="G39" s="1">
        <v>42940</v>
      </c>
      <c r="H39" s="1"/>
      <c r="I39" s="1">
        <v>42958</v>
      </c>
    </row>
    <row r="40" spans="1:22" ht="45" x14ac:dyDescent="0.25">
      <c r="A40" s="33">
        <v>2018</v>
      </c>
      <c r="B40" s="34" t="s">
        <v>64</v>
      </c>
      <c r="C40" s="35" t="s">
        <v>62</v>
      </c>
      <c r="F40" t="s">
        <v>71</v>
      </c>
      <c r="G40" s="1">
        <v>42968</v>
      </c>
      <c r="H40" s="1"/>
    </row>
    <row r="41" spans="1:22" x14ac:dyDescent="0.25">
      <c r="A41" s="3" t="s">
        <v>51</v>
      </c>
      <c r="B41" s="3"/>
      <c r="C41" s="36">
        <f>J15+J17+J19</f>
        <v>483300</v>
      </c>
    </row>
    <row r="42" spans="1:22" x14ac:dyDescent="0.25">
      <c r="A42" s="3" t="s">
        <v>53</v>
      </c>
      <c r="B42" s="3">
        <v>13866</v>
      </c>
      <c r="C42" s="3"/>
    </row>
    <row r="43" spans="1:22" x14ac:dyDescent="0.25">
      <c r="A43" s="3" t="s">
        <v>54</v>
      </c>
      <c r="B43" s="3">
        <v>1750</v>
      </c>
      <c r="C43" s="3"/>
      <c r="F43" t="s">
        <v>72</v>
      </c>
      <c r="G43" s="97">
        <v>43221</v>
      </c>
    </row>
    <row r="44" spans="1:22" x14ac:dyDescent="0.25">
      <c r="A44" s="3" t="s">
        <v>55</v>
      </c>
      <c r="B44" s="3">
        <f>SUM(B42:B43)</f>
        <v>15616</v>
      </c>
      <c r="C44" s="3"/>
      <c r="F44" t="s">
        <v>73</v>
      </c>
      <c r="G44" s="97"/>
    </row>
    <row r="45" spans="1:22" x14ac:dyDescent="0.25">
      <c r="A45" s="3"/>
      <c r="B45" s="3"/>
      <c r="C45" s="3"/>
      <c r="F45" t="s">
        <v>74</v>
      </c>
      <c r="G45" s="97"/>
    </row>
    <row r="46" spans="1:22" x14ac:dyDescent="0.25">
      <c r="A46" s="3"/>
      <c r="B46" s="3"/>
      <c r="C46" s="3"/>
      <c r="F46" s="2" t="s">
        <v>75</v>
      </c>
    </row>
    <row r="47" spans="1:22" x14ac:dyDescent="0.25">
      <c r="A47" s="37" t="s">
        <v>47</v>
      </c>
      <c r="B47" s="37">
        <f>B44*9</f>
        <v>140544</v>
      </c>
      <c r="C47" s="38">
        <f>SUM(C37:C41)</f>
        <v>1530450</v>
      </c>
      <c r="F47" s="96"/>
      <c r="G47" t="s">
        <v>79</v>
      </c>
    </row>
    <row r="48" spans="1:22" x14ac:dyDescent="0.25">
      <c r="A48" s="3"/>
      <c r="B48" s="3"/>
      <c r="C48" s="3"/>
      <c r="F48" s="96"/>
      <c r="G48" t="s">
        <v>80</v>
      </c>
    </row>
    <row r="49" spans="1:7" x14ac:dyDescent="0.25">
      <c r="A49" s="3" t="s">
        <v>48</v>
      </c>
      <c r="B49" s="3"/>
      <c r="C49" s="3">
        <v>10000</v>
      </c>
      <c r="F49" s="96"/>
      <c r="G49" t="s">
        <v>81</v>
      </c>
    </row>
    <row r="50" spans="1:7" x14ac:dyDescent="0.25">
      <c r="A50" s="3" t="s">
        <v>49</v>
      </c>
      <c r="B50" s="3"/>
      <c r="C50" s="3">
        <v>2175</v>
      </c>
      <c r="F50" s="96"/>
      <c r="G50" t="s">
        <v>82</v>
      </c>
    </row>
    <row r="51" spans="1:7" x14ac:dyDescent="0.25">
      <c r="A51" s="3" t="s">
        <v>50</v>
      </c>
      <c r="B51" s="3"/>
      <c r="C51" s="3">
        <v>790</v>
      </c>
      <c r="G51" t="s">
        <v>83</v>
      </c>
    </row>
    <row r="52" spans="1:7" x14ac:dyDescent="0.25">
      <c r="A52" s="3"/>
      <c r="B52" s="3"/>
      <c r="C52" s="3">
        <f>SUM(C49:C51)</f>
        <v>12965</v>
      </c>
      <c r="G52" t="s">
        <v>84</v>
      </c>
    </row>
    <row r="53" spans="1:7" x14ac:dyDescent="0.25">
      <c r="G53" t="s">
        <v>85</v>
      </c>
    </row>
    <row r="54" spans="1:7" x14ac:dyDescent="0.25">
      <c r="G54" t="s">
        <v>86</v>
      </c>
    </row>
    <row r="56" spans="1:7" x14ac:dyDescent="0.25">
      <c r="G56" t="s">
        <v>87</v>
      </c>
    </row>
  </sheetData>
  <mergeCells count="2">
    <mergeCell ref="G43:G45"/>
    <mergeCell ref="F47:F50"/>
  </mergeCells>
  <pageMargins left="0.25" right="0.25" top="0.75" bottom="0.75" header="0.3" footer="0.3"/>
  <pageSetup paperSize="9" scale="5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/>
  </sheetViews>
  <sheetFormatPr baseColWidth="10" defaultRowHeight="15" x14ac:dyDescent="0.25"/>
  <sheetData>
    <row r="1" spans="1:2" ht="409.5" x14ac:dyDescent="0.25">
      <c r="A1" s="25" t="s">
        <v>57</v>
      </c>
      <c r="B1" s="25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financement et déblocage</vt:lpstr>
      <vt:lpstr>prévisionnel global </vt:lpstr>
      <vt:lpstr>prévisionnel global SL </vt:lpstr>
      <vt:lpstr>Feuil1</vt:lpstr>
      <vt:lpstr>'financement et déblocage'!Zone_d_impression</vt:lpstr>
      <vt:lpstr>'prévisionnel global '!Zone_d_impression</vt:lpstr>
      <vt:lpstr>'prévisionnel global SL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Veronique ROUSSEL</dc:creator>
  <cp:lastModifiedBy>Veronique ROUSSEL</cp:lastModifiedBy>
  <cp:lastPrinted>2018-11-19T14:35:13Z</cp:lastPrinted>
  <dcterms:created xsi:type="dcterms:W3CDTF">2017-04-19T14:04:42Z</dcterms:created>
  <dcterms:modified xsi:type="dcterms:W3CDTF">2022-09-19T14:58:43Z</dcterms:modified>
</cp:coreProperties>
</file>